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droid\software\REV.health\model\"/>
    </mc:Choice>
  </mc:AlternateContent>
  <xr:revisionPtr revIDLastSave="0" documentId="13_ncr:1_{2A5519EF-4803-47AB-BD8F-3631DDC79908}" xr6:coauthVersionLast="47" xr6:coauthVersionMax="47" xr10:uidLastSave="{00000000-0000-0000-0000-000000000000}"/>
  <bookViews>
    <workbookView xWindow="-27450" yWindow="1050" windowWidth="24480" windowHeight="13215" activeTab="1" xr2:uid="{00000000-000D-0000-FFFF-FFFF00000000}"/>
  </bookViews>
  <sheets>
    <sheet name="Cover" sheetId="1" r:id="rId1"/>
    <sheet name="Investor Return" sheetId="2" r:id="rId2"/>
    <sheet name="Snapshot" sheetId="3" r:id="rId3"/>
    <sheet name="Exec Summary" sheetId="4" r:id="rId4"/>
    <sheet name="SaaS KPI Dashboard" sheetId="5" r:id="rId5"/>
    <sheet name="ARR Bridge" sheetId="6" r:id="rId6"/>
    <sheet name="Growth &amp; timing" sheetId="7" r:id="rId7"/>
    <sheet name="Pricing" sheetId="8" r:id="rId8"/>
    <sheet name="Throughput → collections" sheetId="9" r:id="rId9"/>
    <sheet name="Financing &amp; returns" sheetId="10" r:id="rId10"/>
    <sheet name="Operating costs (fixed)" sheetId="11" r:id="rId11"/>
    <sheet name="Cost-to-serve (per encounter-cl" sheetId="12" r:id="rId12"/>
    <sheet name="Staffing" sheetId="13" r:id="rId13"/>
    <sheet name="Staffing &amp; FTE" sheetId="14" r:id="rId14"/>
    <sheet name="Proforma (monthly)" sheetId="15" r:id="rId15"/>
    <sheet name="Monthly P&amp;L" sheetId="16" r:id="rId16"/>
    <sheet name="P&amp;L (annual)" sheetId="17" r:id="rId17"/>
    <sheet name="EBITDA Proforma" sheetId="18" r:id="rId18"/>
    <sheet name="Revenue Build" sheetId="19" r:id="rId19"/>
    <sheet name="Provider Ramp" sheetId="20" r:id="rId20"/>
    <sheet name="Churn &amp; Retention" sheetId="21" r:id="rId21"/>
    <sheet name="Collections" sheetId="22" r:id="rId22"/>
    <sheet name="RCM Workload" sheetId="23" r:id="rId23"/>
    <sheet name="Unit Economics" sheetId="24" r:id="rId24"/>
    <sheet name="MD-APP Mix" sheetId="25" r:id="rId25"/>
    <sheet name="Cost-to-Serve" sheetId="26" r:id="rId26"/>
    <sheet name="AI-Scribe &amp; Azure" sheetId="27" r:id="rId27"/>
    <sheet name="Cloud &amp; Azure COGS" sheetId="28" r:id="rId28"/>
    <sheet name="Efficiency" sheetId="29" r:id="rId29"/>
    <sheet name="Headcount by Position" sheetId="30" r:id="rId30"/>
    <sheet name="Corp Expenses" sheetId="31" r:id="rId31"/>
    <sheet name="Capex" sheetId="32" r:id="rId32"/>
    <sheet name="Cash Flow (annual)" sheetId="33" r:id="rId33"/>
    <sheet name="Cash Flow (OIF)" sheetId="34" r:id="rId34"/>
    <sheet name="Working Capital" sheetId="35" r:id="rId35"/>
    <sheet name="Tax (NOL)" sheetId="36" r:id="rId36"/>
    <sheet name="Sources &amp; Uses" sheetId="37" r:id="rId37"/>
    <sheet name="Returns" sheetId="38" r:id="rId38"/>
    <sheet name="Equity Returns" sheetId="39" r:id="rId39"/>
    <sheet name="Returns Sensitivity" sheetId="40" r:id="rId40"/>
    <sheet name="Retention Upside" sheetId="41" r:id="rId41"/>
    <sheet name="Cap Table" sheetId="42" r:id="rId42"/>
    <sheet name="Balance Sheet" sheetId="43" r:id="rId43"/>
    <sheet name="Market (TAM-SAM-SOM)" sheetId="44" r:id="rId44"/>
    <sheet name="Why Now" sheetId="45" r:id="rId45"/>
    <sheet name="Competition" sheetId="46" r:id="rId46"/>
    <sheet name="Exit Comps" sheetId="47" r:id="rId47"/>
    <sheet name="Glossary" sheetId="48" r:id="rId48"/>
    <sheet name="Change Log" sheetId="49" r:id="rId49"/>
    <sheet name="Notes &amp; Sources" sheetId="50" r:id="rId5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50" l="1"/>
  <c r="B67" i="50"/>
  <c r="B66" i="50"/>
  <c r="B65" i="50"/>
  <c r="B64" i="50"/>
  <c r="B63" i="50"/>
  <c r="B62" i="50"/>
  <c r="B61" i="50"/>
  <c r="B60" i="50"/>
  <c r="B59" i="50"/>
  <c r="B58" i="50"/>
  <c r="B57" i="50"/>
  <c r="B56" i="50"/>
  <c r="B55" i="50"/>
  <c r="B54" i="50"/>
  <c r="B53" i="50"/>
  <c r="B52" i="50"/>
  <c r="B51" i="50"/>
  <c r="B50" i="50"/>
  <c r="B49" i="50"/>
  <c r="B48" i="50"/>
  <c r="B46" i="50"/>
  <c r="B45" i="50"/>
  <c r="B44" i="50"/>
  <c r="B43" i="50"/>
  <c r="B42" i="50"/>
  <c r="B41" i="50"/>
  <c r="B40" i="50"/>
  <c r="B39" i="50"/>
  <c r="B38" i="50"/>
  <c r="B37" i="50"/>
  <c r="B36" i="50"/>
  <c r="B34" i="50"/>
  <c r="B33" i="50"/>
  <c r="B32" i="50"/>
  <c r="B31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5" i="50"/>
  <c r="B4" i="50"/>
  <c r="B5" i="47"/>
  <c r="B4" i="47"/>
  <c r="B5" i="44"/>
  <c r="B4" i="44"/>
  <c r="B8" i="43"/>
  <c r="B8" i="42"/>
  <c r="B7" i="42"/>
  <c r="B6" i="42"/>
  <c r="B5" i="42"/>
  <c r="B4" i="42"/>
  <c r="B4" i="41"/>
  <c r="B7" i="39"/>
  <c r="B4" i="39"/>
  <c r="B10" i="37"/>
  <c r="B7" i="37"/>
  <c r="B6" i="37"/>
  <c r="B5" i="37"/>
  <c r="B4" i="35"/>
  <c r="G7" i="34"/>
  <c r="F7" i="34"/>
  <c r="E7" i="34"/>
  <c r="D7" i="34"/>
  <c r="C7" i="34"/>
  <c r="B7" i="34"/>
  <c r="G6" i="34"/>
  <c r="F6" i="34"/>
  <c r="E6" i="34"/>
  <c r="D6" i="34"/>
  <c r="C6" i="34"/>
  <c r="B6" i="34"/>
  <c r="B6" i="33"/>
  <c r="B4" i="29"/>
  <c r="D49" i="27"/>
  <c r="B49" i="27"/>
  <c r="D48" i="27"/>
  <c r="B48" i="27"/>
  <c r="D47" i="27"/>
  <c r="B47" i="27"/>
  <c r="D46" i="27"/>
  <c r="B46" i="27"/>
  <c r="D45" i="27"/>
  <c r="B45" i="27"/>
  <c r="D44" i="27"/>
  <c r="B44" i="27"/>
  <c r="D43" i="27"/>
  <c r="B43" i="27"/>
  <c r="D42" i="27"/>
  <c r="B42" i="27"/>
  <c r="D41" i="27"/>
  <c r="B41" i="27"/>
  <c r="D40" i="27"/>
  <c r="B40" i="27"/>
  <c r="D39" i="27"/>
  <c r="B39" i="27"/>
  <c r="D38" i="27"/>
  <c r="B38" i="27"/>
  <c r="D37" i="27"/>
  <c r="B37" i="27"/>
  <c r="D36" i="27"/>
  <c r="B36" i="27"/>
  <c r="B29" i="27"/>
  <c r="B26" i="27"/>
  <c r="B22" i="27"/>
  <c r="B21" i="27"/>
  <c r="B20" i="27"/>
  <c r="B11" i="26"/>
  <c r="B10" i="26"/>
  <c r="B8" i="26"/>
  <c r="B7" i="26"/>
  <c r="B6" i="26"/>
  <c r="C9" i="25"/>
  <c r="B9" i="25"/>
  <c r="C8" i="25"/>
  <c r="B8" i="25"/>
  <c r="C7" i="25"/>
  <c r="B7" i="25"/>
  <c r="C6" i="25"/>
  <c r="B6" i="25"/>
  <c r="C5" i="25"/>
  <c r="B5" i="25"/>
  <c r="B5" i="23"/>
  <c r="G7" i="22"/>
  <c r="F7" i="22"/>
  <c r="E7" i="22"/>
  <c r="D7" i="22"/>
  <c r="C7" i="22"/>
  <c r="B7" i="22"/>
  <c r="G6" i="22"/>
  <c r="F6" i="22"/>
  <c r="E6" i="22"/>
  <c r="D6" i="22"/>
  <c r="C6" i="22"/>
  <c r="B6" i="22"/>
  <c r="G5" i="22"/>
  <c r="F5" i="22"/>
  <c r="E5" i="22"/>
  <c r="D5" i="22"/>
  <c r="C5" i="22"/>
  <c r="B5" i="22"/>
  <c r="B9" i="21"/>
  <c r="B8" i="21"/>
  <c r="B7" i="21"/>
  <c r="B6" i="21"/>
  <c r="B5" i="21"/>
  <c r="B4" i="21"/>
  <c r="L77" i="15"/>
  <c r="B77" i="15"/>
  <c r="L76" i="15"/>
  <c r="B76" i="15"/>
  <c r="L75" i="15"/>
  <c r="B75" i="15"/>
  <c r="L74" i="15"/>
  <c r="B74" i="15"/>
  <c r="L73" i="15"/>
  <c r="B73" i="15"/>
  <c r="L72" i="15"/>
  <c r="B72" i="15"/>
  <c r="L71" i="15"/>
  <c r="B71" i="15"/>
  <c r="L70" i="15"/>
  <c r="B70" i="15"/>
  <c r="L69" i="15"/>
  <c r="B69" i="15"/>
  <c r="L68" i="15"/>
  <c r="B68" i="15"/>
  <c r="L67" i="15"/>
  <c r="B67" i="15"/>
  <c r="L66" i="15"/>
  <c r="B66" i="15"/>
  <c r="L65" i="15"/>
  <c r="B65" i="15"/>
  <c r="L64" i="15"/>
  <c r="B64" i="15"/>
  <c r="L63" i="15"/>
  <c r="B63" i="15"/>
  <c r="L62" i="15"/>
  <c r="B62" i="15"/>
  <c r="L61" i="15"/>
  <c r="B61" i="15"/>
  <c r="L60" i="15"/>
  <c r="B60" i="15"/>
  <c r="L59" i="15"/>
  <c r="B59" i="15"/>
  <c r="L58" i="15"/>
  <c r="B58" i="15"/>
  <c r="L57" i="15"/>
  <c r="B57" i="15"/>
  <c r="L56" i="15"/>
  <c r="B56" i="15"/>
  <c r="L55" i="15"/>
  <c r="B55" i="15"/>
  <c r="L54" i="15"/>
  <c r="B54" i="15"/>
  <c r="L53" i="15"/>
  <c r="B53" i="15"/>
  <c r="L52" i="15"/>
  <c r="B52" i="15"/>
  <c r="L51" i="15"/>
  <c r="B51" i="15"/>
  <c r="L50" i="15"/>
  <c r="B50" i="15"/>
  <c r="L49" i="15"/>
  <c r="B49" i="15"/>
  <c r="L48" i="15"/>
  <c r="B48" i="15"/>
  <c r="L47" i="15"/>
  <c r="B47" i="15"/>
  <c r="L46" i="15"/>
  <c r="B46" i="15"/>
  <c r="L45" i="15"/>
  <c r="B45" i="15"/>
  <c r="L44" i="15"/>
  <c r="B44" i="15"/>
  <c r="L43" i="15"/>
  <c r="B43" i="15"/>
  <c r="L42" i="15"/>
  <c r="B42" i="15"/>
  <c r="L41" i="15"/>
  <c r="B41" i="15"/>
  <c r="L40" i="15"/>
  <c r="B40" i="15"/>
  <c r="L39" i="15"/>
  <c r="B39" i="15"/>
  <c r="L38" i="15"/>
  <c r="B38" i="15"/>
  <c r="L37" i="15"/>
  <c r="B37" i="15"/>
  <c r="L36" i="15"/>
  <c r="B36" i="15"/>
  <c r="L35" i="15"/>
  <c r="B35" i="15"/>
  <c r="L34" i="15"/>
  <c r="B34" i="15"/>
  <c r="L33" i="15"/>
  <c r="B33" i="15"/>
  <c r="L32" i="15"/>
  <c r="B32" i="15"/>
  <c r="L31" i="15"/>
  <c r="B31" i="15"/>
  <c r="L30" i="15"/>
  <c r="B30" i="15"/>
  <c r="L29" i="15"/>
  <c r="B29" i="15"/>
  <c r="L28" i="15"/>
  <c r="B28" i="15"/>
  <c r="L27" i="15"/>
  <c r="B27" i="15"/>
  <c r="L26" i="15"/>
  <c r="B26" i="15"/>
  <c r="L25" i="15"/>
  <c r="B25" i="15"/>
  <c r="L24" i="15"/>
  <c r="B24" i="15"/>
  <c r="L23" i="15"/>
  <c r="B23" i="15"/>
  <c r="L22" i="15"/>
  <c r="B22" i="15"/>
  <c r="L21" i="15"/>
  <c r="B21" i="15"/>
  <c r="L20" i="15"/>
  <c r="B20" i="15"/>
  <c r="L19" i="15"/>
  <c r="B19" i="15"/>
  <c r="L18" i="15"/>
  <c r="B18" i="15"/>
  <c r="L17" i="15"/>
  <c r="B17" i="15"/>
  <c r="L16" i="15"/>
  <c r="D16" i="15"/>
  <c r="B16" i="15"/>
  <c r="L15" i="15"/>
  <c r="D15" i="15"/>
  <c r="B15" i="15"/>
  <c r="L14" i="15"/>
  <c r="D14" i="15"/>
  <c r="B14" i="15"/>
  <c r="L13" i="15"/>
  <c r="D13" i="15"/>
  <c r="B13" i="15"/>
  <c r="L12" i="15"/>
  <c r="E12" i="15"/>
  <c r="D12" i="15"/>
  <c r="B12" i="15"/>
  <c r="L11" i="15"/>
  <c r="D11" i="15"/>
  <c r="B11" i="15"/>
  <c r="L10" i="15"/>
  <c r="D10" i="15"/>
  <c r="B10" i="15"/>
  <c r="L9" i="15"/>
  <c r="D9" i="15"/>
  <c r="B9" i="15"/>
  <c r="L8" i="15"/>
  <c r="D8" i="15"/>
  <c r="B8" i="15"/>
  <c r="L7" i="15"/>
  <c r="D7" i="15"/>
  <c r="B7" i="15"/>
  <c r="L6" i="15"/>
  <c r="D6" i="15"/>
  <c r="B6" i="15"/>
  <c r="L3" i="15"/>
  <c r="B93" i="14"/>
  <c r="B92" i="14"/>
  <c r="B91" i="14"/>
  <c r="B90" i="14"/>
  <c r="B89" i="14"/>
  <c r="B88" i="14"/>
  <c r="E87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D64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15" i="11"/>
  <c r="B14" i="10"/>
  <c r="B10" i="10"/>
  <c r="B5" i="6"/>
  <c r="B17" i="5"/>
  <c r="B10" i="3"/>
  <c r="C12" i="2"/>
  <c r="C10" i="2"/>
  <c r="C9" i="2"/>
  <c r="M29" i="14" l="1"/>
  <c r="N64" i="14"/>
  <c r="N52" i="14"/>
  <c r="J29" i="14"/>
  <c r="C13" i="15"/>
  <c r="N29" i="14"/>
  <c r="N87" i="14"/>
  <c r="E64" i="14"/>
  <c r="K52" i="14"/>
  <c r="K29" i="14"/>
  <c r="N75" i="14"/>
  <c r="I29" i="14"/>
  <c r="M52" i="14"/>
  <c r="L29" i="14"/>
  <c r="C64" i="14"/>
  <c r="L52" i="14"/>
  <c r="P29" i="14"/>
  <c r="B35" i="50"/>
  <c r="B30" i="50"/>
  <c r="B5" i="39"/>
  <c r="B10" i="38"/>
  <c r="C48" i="27"/>
  <c r="C47" i="27"/>
  <c r="C42" i="27"/>
  <c r="C40" i="27"/>
  <c r="C36" i="27"/>
  <c r="B27" i="27"/>
  <c r="B9" i="26"/>
  <c r="B6" i="23"/>
  <c r="M63" i="15"/>
  <c r="N63" i="15" s="1"/>
  <c r="M47" i="15"/>
  <c r="N47" i="15" s="1"/>
  <c r="G8" i="22"/>
  <c r="F8" i="22"/>
  <c r="E8" i="22"/>
  <c r="D8" i="22"/>
  <c r="C8" i="22"/>
  <c r="B8" i="22"/>
  <c r="M44" i="15"/>
  <c r="N44" i="15" s="1"/>
  <c r="M76" i="15"/>
  <c r="N76" i="15" s="1"/>
  <c r="M74" i="15"/>
  <c r="N74" i="15" s="1"/>
  <c r="M73" i="15"/>
  <c r="N73" i="15" s="1"/>
  <c r="M72" i="15"/>
  <c r="N72" i="15" s="1"/>
  <c r="M71" i="15"/>
  <c r="N71" i="15" s="1"/>
  <c r="M70" i="15"/>
  <c r="N70" i="15" s="1"/>
  <c r="M69" i="15"/>
  <c r="N69" i="15" s="1"/>
  <c r="M68" i="15"/>
  <c r="N68" i="15" s="1"/>
  <c r="M67" i="15"/>
  <c r="N67" i="15" s="1"/>
  <c r="M66" i="15"/>
  <c r="N66" i="15" s="1"/>
  <c r="M65" i="15"/>
  <c r="N65" i="15" s="1"/>
  <c r="M57" i="15"/>
  <c r="N57" i="15" s="1"/>
  <c r="M55" i="15"/>
  <c r="N55" i="15" s="1"/>
  <c r="M53" i="15"/>
  <c r="N53" i="15" s="1"/>
  <c r="M52" i="15"/>
  <c r="N52" i="15" s="1"/>
  <c r="M46" i="15"/>
  <c r="N46" i="15" s="1"/>
  <c r="M77" i="15"/>
  <c r="M58" i="15"/>
  <c r="N58" i="15" s="1"/>
  <c r="M56" i="15"/>
  <c r="N56" i="15" s="1"/>
  <c r="M49" i="15"/>
  <c r="N49" i="15" s="1"/>
  <c r="M48" i="15"/>
  <c r="N48" i="15" s="1"/>
  <c r="M45" i="15"/>
  <c r="N45" i="15" s="1"/>
  <c r="M75" i="15"/>
  <c r="N75" i="15" s="1"/>
  <c r="M59" i="15"/>
  <c r="N59" i="15" s="1"/>
  <c r="M43" i="15"/>
  <c r="N43" i="15" s="1"/>
  <c r="M42" i="15"/>
  <c r="N42" i="15" s="1"/>
  <c r="M41" i="15"/>
  <c r="N41" i="15" s="1"/>
  <c r="M40" i="15"/>
  <c r="N40" i="15" s="1"/>
  <c r="M39" i="15"/>
  <c r="N39" i="15" s="1"/>
  <c r="M38" i="15"/>
  <c r="N38" i="15" s="1"/>
  <c r="M37" i="15"/>
  <c r="N37" i="15" s="1"/>
  <c r="M36" i="15"/>
  <c r="N36" i="15" s="1"/>
  <c r="M35" i="15"/>
  <c r="N35" i="15" s="1"/>
  <c r="M34" i="15"/>
  <c r="N34" i="15" s="1"/>
  <c r="M33" i="15"/>
  <c r="N33" i="15" s="1"/>
  <c r="M32" i="15"/>
  <c r="N32" i="15" s="1"/>
  <c r="M31" i="15"/>
  <c r="N31" i="15" s="1"/>
  <c r="M30" i="15"/>
  <c r="N30" i="15" s="1"/>
  <c r="M29" i="15"/>
  <c r="N29" i="15" s="1"/>
  <c r="M28" i="15"/>
  <c r="N28" i="15" s="1"/>
  <c r="M26" i="15"/>
  <c r="N26" i="15" s="1"/>
  <c r="M25" i="15"/>
  <c r="N25" i="15" s="1"/>
  <c r="M24" i="15"/>
  <c r="N24" i="15" s="1"/>
  <c r="M23" i="15"/>
  <c r="N23" i="15" s="1"/>
  <c r="M22" i="15"/>
  <c r="N22" i="15" s="1"/>
  <c r="M21" i="15"/>
  <c r="N21" i="15" s="1"/>
  <c r="M20" i="15"/>
  <c r="N20" i="15" s="1"/>
  <c r="M19" i="15"/>
  <c r="N19" i="15" s="1"/>
  <c r="M18" i="15"/>
  <c r="N18" i="15" s="1"/>
  <c r="M17" i="15"/>
  <c r="N17" i="15" s="1"/>
  <c r="D17" i="15"/>
  <c r="M16" i="15"/>
  <c r="N16" i="15" s="1"/>
  <c r="E16" i="15"/>
  <c r="C16" i="15"/>
  <c r="M15" i="15"/>
  <c r="N15" i="15" s="1"/>
  <c r="E15" i="15"/>
  <c r="C15" i="15"/>
  <c r="M14" i="15"/>
  <c r="N14" i="15" s="1"/>
  <c r="E14" i="15"/>
  <c r="C14" i="15"/>
  <c r="M13" i="15"/>
  <c r="N13" i="15" s="1"/>
  <c r="M12" i="15"/>
  <c r="N12" i="15" s="1"/>
  <c r="G12" i="15"/>
  <c r="F12" i="15"/>
  <c r="M10" i="15"/>
  <c r="N10" i="15" s="1"/>
  <c r="E10" i="15"/>
  <c r="C10" i="15"/>
  <c r="C8" i="15"/>
  <c r="E7" i="15"/>
  <c r="M6" i="15"/>
  <c r="N6" i="15" s="1"/>
  <c r="E6" i="15"/>
  <c r="C6" i="15"/>
  <c r="D93" i="14"/>
  <c r="H6" i="30" s="1"/>
  <c r="N92" i="14"/>
  <c r="E92" i="14"/>
  <c r="C92" i="14"/>
  <c r="E91" i="14"/>
  <c r="C91" i="14"/>
  <c r="N90" i="14"/>
  <c r="D90" i="14"/>
  <c r="N89" i="14"/>
  <c r="D89" i="14"/>
  <c r="N88" i="14"/>
  <c r="D88" i="14"/>
  <c r="M27" i="15"/>
  <c r="N27" i="15" s="1"/>
  <c r="E13" i="15"/>
  <c r="E11" i="15"/>
  <c r="C11" i="15"/>
  <c r="M9" i="15"/>
  <c r="N9" i="15" s="1"/>
  <c r="E9" i="15"/>
  <c r="C9" i="15"/>
  <c r="M8" i="15"/>
  <c r="N8" i="15" s="1"/>
  <c r="E8" i="15"/>
  <c r="M7" i="15"/>
  <c r="N7" i="15" s="1"/>
  <c r="C7" i="15"/>
  <c r="N93" i="14"/>
  <c r="H16" i="30" s="1"/>
  <c r="E93" i="14"/>
  <c r="H7" i="30" s="1"/>
  <c r="C93" i="14"/>
  <c r="D92" i="14"/>
  <c r="N91" i="14"/>
  <c r="D91" i="14"/>
  <c r="E90" i="14"/>
  <c r="C90" i="14"/>
  <c r="E89" i="14"/>
  <c r="C89" i="14"/>
  <c r="E88" i="14"/>
  <c r="C88" i="14"/>
  <c r="C12" i="15"/>
  <c r="M11" i="15"/>
  <c r="N11" i="15" s="1"/>
  <c r="D87" i="14"/>
  <c r="C87" i="14"/>
  <c r="N86" i="14"/>
  <c r="E86" i="14"/>
  <c r="D86" i="14"/>
  <c r="C86" i="14"/>
  <c r="N85" i="14"/>
  <c r="E85" i="14"/>
  <c r="D85" i="14"/>
  <c r="C85" i="14"/>
  <c r="N84" i="14"/>
  <c r="E84" i="14"/>
  <c r="D84" i="14"/>
  <c r="C84" i="14"/>
  <c r="N83" i="14"/>
  <c r="E83" i="14"/>
  <c r="D83" i="14"/>
  <c r="C83" i="14"/>
  <c r="N82" i="14"/>
  <c r="E82" i="14"/>
  <c r="D82" i="14"/>
  <c r="C82" i="14"/>
  <c r="N81" i="14"/>
  <c r="G16" i="30" s="1"/>
  <c r="E81" i="14"/>
  <c r="G7" i="30" s="1"/>
  <c r="D81" i="14"/>
  <c r="G6" i="30" s="1"/>
  <c r="C81" i="14"/>
  <c r="N80" i="14"/>
  <c r="E80" i="14"/>
  <c r="D80" i="14"/>
  <c r="C80" i="14"/>
  <c r="N79" i="14"/>
  <c r="E79" i="14"/>
  <c r="D79" i="14"/>
  <c r="C79" i="14"/>
  <c r="N78" i="14"/>
  <c r="E78" i="14"/>
  <c r="D78" i="14"/>
  <c r="C78" i="14"/>
  <c r="N77" i="14"/>
  <c r="E77" i="14"/>
  <c r="D77" i="14"/>
  <c r="C77" i="14"/>
  <c r="N76" i="14"/>
  <c r="E76" i="14"/>
  <c r="D76" i="14"/>
  <c r="C76" i="14"/>
  <c r="E75" i="14"/>
  <c r="D75" i="14"/>
  <c r="C75" i="14"/>
  <c r="N74" i="14"/>
  <c r="E74" i="14"/>
  <c r="D74" i="14"/>
  <c r="C74" i="14"/>
  <c r="N73" i="14"/>
  <c r="E73" i="14"/>
  <c r="D73" i="14"/>
  <c r="C73" i="14"/>
  <c r="N72" i="14"/>
  <c r="E72" i="14"/>
  <c r="D72" i="14"/>
  <c r="C72" i="14"/>
  <c r="N71" i="14"/>
  <c r="E71" i="14"/>
  <c r="D71" i="14"/>
  <c r="C71" i="14"/>
  <c r="N70" i="14"/>
  <c r="E70" i="14"/>
  <c r="D70" i="14"/>
  <c r="C70" i="14"/>
  <c r="N69" i="14"/>
  <c r="F16" i="30" s="1"/>
  <c r="E69" i="14"/>
  <c r="F7" i="30" s="1"/>
  <c r="D69" i="14"/>
  <c r="F6" i="30" s="1"/>
  <c r="C69" i="14"/>
  <c r="N68" i="14"/>
  <c r="E68" i="14"/>
  <c r="D68" i="14"/>
  <c r="C68" i="14"/>
  <c r="N67" i="14"/>
  <c r="E67" i="14"/>
  <c r="D67" i="14"/>
  <c r="C67" i="14"/>
  <c r="N66" i="14"/>
  <c r="E66" i="14"/>
  <c r="D66" i="14"/>
  <c r="C66" i="14"/>
  <c r="N65" i="14"/>
  <c r="E65" i="14"/>
  <c r="D65" i="14"/>
  <c r="C65" i="14"/>
  <c r="N63" i="14"/>
  <c r="E63" i="14"/>
  <c r="D63" i="14"/>
  <c r="C63" i="14"/>
  <c r="N62" i="14"/>
  <c r="E62" i="14"/>
  <c r="D62" i="14"/>
  <c r="C62" i="14"/>
  <c r="N61" i="14"/>
  <c r="E61" i="14"/>
  <c r="D61" i="14"/>
  <c r="C61" i="14"/>
  <c r="N60" i="14"/>
  <c r="E60" i="14"/>
  <c r="D60" i="14"/>
  <c r="C60" i="14"/>
  <c r="N59" i="14"/>
  <c r="E59" i="14"/>
  <c r="D59" i="14"/>
  <c r="C59" i="14"/>
  <c r="N58" i="14"/>
  <c r="E58" i="14"/>
  <c r="D58" i="14"/>
  <c r="C58" i="14"/>
  <c r="N57" i="14"/>
  <c r="E16" i="30" s="1"/>
  <c r="E57" i="14"/>
  <c r="E7" i="30" s="1"/>
  <c r="D57" i="14"/>
  <c r="E6" i="30" s="1"/>
  <c r="C57" i="14"/>
  <c r="N56" i="14"/>
  <c r="E56" i="14"/>
  <c r="D56" i="14"/>
  <c r="C56" i="14"/>
  <c r="N55" i="14"/>
  <c r="E55" i="14"/>
  <c r="D55" i="14"/>
  <c r="C55" i="14"/>
  <c r="N54" i="14"/>
  <c r="M54" i="14"/>
  <c r="E54" i="14"/>
  <c r="D54" i="14"/>
  <c r="C54" i="14"/>
  <c r="N53" i="14"/>
  <c r="M53" i="14"/>
  <c r="L53" i="14"/>
  <c r="K53" i="14"/>
  <c r="E53" i="14"/>
  <c r="D53" i="14"/>
  <c r="C53" i="14"/>
  <c r="E52" i="14"/>
  <c r="D52" i="14"/>
  <c r="C52" i="14"/>
  <c r="N51" i="14"/>
  <c r="M51" i="14"/>
  <c r="L51" i="14"/>
  <c r="K51" i="14"/>
  <c r="H51" i="14"/>
  <c r="E51" i="14"/>
  <c r="D51" i="14"/>
  <c r="C51" i="14"/>
  <c r="N50" i="14"/>
  <c r="M50" i="14"/>
  <c r="L50" i="14"/>
  <c r="K50" i="14"/>
  <c r="H50" i="14"/>
  <c r="E50" i="14"/>
  <c r="D50" i="14"/>
  <c r="C50" i="14"/>
  <c r="N49" i="14"/>
  <c r="M49" i="14"/>
  <c r="L49" i="14"/>
  <c r="K49" i="14"/>
  <c r="J49" i="14"/>
  <c r="I49" i="14"/>
  <c r="H49" i="14"/>
  <c r="G49" i="14"/>
  <c r="E49" i="14"/>
  <c r="D49" i="14"/>
  <c r="C49" i="14"/>
  <c r="N48" i="14"/>
  <c r="M48" i="14"/>
  <c r="L48" i="14"/>
  <c r="K48" i="14"/>
  <c r="J48" i="14"/>
  <c r="I48" i="14"/>
  <c r="H48" i="14"/>
  <c r="G48" i="14"/>
  <c r="E48" i="14"/>
  <c r="D48" i="14"/>
  <c r="C48" i="14"/>
  <c r="N47" i="14"/>
  <c r="M47" i="14"/>
  <c r="L47" i="14"/>
  <c r="K47" i="14"/>
  <c r="J47" i="14"/>
  <c r="I47" i="14"/>
  <c r="H47" i="14"/>
  <c r="G47" i="14"/>
  <c r="E47" i="14"/>
  <c r="D47" i="14"/>
  <c r="C47" i="14"/>
  <c r="N46" i="14"/>
  <c r="M46" i="14"/>
  <c r="L46" i="14"/>
  <c r="K46" i="14"/>
  <c r="J46" i="14"/>
  <c r="I46" i="14"/>
  <c r="H46" i="14"/>
  <c r="G46" i="14"/>
  <c r="E46" i="14"/>
  <c r="D46" i="14"/>
  <c r="C46" i="14"/>
  <c r="N45" i="14"/>
  <c r="D16" i="30" s="1"/>
  <c r="M45" i="14"/>
  <c r="D15" i="30" s="1"/>
  <c r="L45" i="14"/>
  <c r="D14" i="30" s="1"/>
  <c r="K45" i="14"/>
  <c r="D13" i="30" s="1"/>
  <c r="J45" i="14"/>
  <c r="D12" i="30" s="1"/>
  <c r="I45" i="14"/>
  <c r="D11" i="30" s="1"/>
  <c r="H45" i="14"/>
  <c r="D10" i="30" s="1"/>
  <c r="G45" i="14"/>
  <c r="D9" i="30" s="1"/>
  <c r="E45" i="14"/>
  <c r="D7" i="30" s="1"/>
  <c r="D45" i="14"/>
  <c r="D6" i="30" s="1"/>
  <c r="C45" i="14"/>
  <c r="N44" i="14"/>
  <c r="M44" i="14"/>
  <c r="L44" i="14"/>
  <c r="K44" i="14"/>
  <c r="J44" i="14"/>
  <c r="I44" i="14"/>
  <c r="H44" i="14"/>
  <c r="G44" i="14"/>
  <c r="E44" i="14"/>
  <c r="D44" i="14"/>
  <c r="C44" i="14"/>
  <c r="N43" i="14"/>
  <c r="M43" i="14"/>
  <c r="L43" i="14"/>
  <c r="K43" i="14"/>
  <c r="J43" i="14"/>
  <c r="I43" i="14"/>
  <c r="H43" i="14"/>
  <c r="G43" i="14"/>
  <c r="E43" i="14"/>
  <c r="D43" i="14"/>
  <c r="C43" i="14"/>
  <c r="N42" i="14"/>
  <c r="M42" i="14"/>
  <c r="L42" i="14"/>
  <c r="K42" i="14"/>
  <c r="J42" i="14"/>
  <c r="I42" i="14"/>
  <c r="H42" i="14"/>
  <c r="G42" i="14"/>
  <c r="E42" i="14"/>
  <c r="D42" i="14"/>
  <c r="C42" i="14"/>
  <c r="N41" i="14"/>
  <c r="M41" i="14"/>
  <c r="L41" i="14"/>
  <c r="K41" i="14"/>
  <c r="J41" i="14"/>
  <c r="I41" i="14"/>
  <c r="H41" i="14"/>
  <c r="G41" i="14"/>
  <c r="E41" i="14"/>
  <c r="D41" i="14"/>
  <c r="C41" i="14"/>
  <c r="C39" i="27"/>
  <c r="C37" i="27"/>
  <c r="M61" i="15"/>
  <c r="N61" i="15" s="1"/>
  <c r="N40" i="14"/>
  <c r="M40" i="14"/>
  <c r="L40" i="14"/>
  <c r="K40" i="14"/>
  <c r="J40" i="14"/>
  <c r="I40" i="14"/>
  <c r="H40" i="14"/>
  <c r="G40" i="14"/>
  <c r="E40" i="14"/>
  <c r="D40" i="14"/>
  <c r="C40" i="14"/>
  <c r="P39" i="14"/>
  <c r="N39" i="14"/>
  <c r="M39" i="14"/>
  <c r="L39" i="14"/>
  <c r="K39" i="14"/>
  <c r="J39" i="14"/>
  <c r="I39" i="14"/>
  <c r="H39" i="14"/>
  <c r="G39" i="14"/>
  <c r="E39" i="14"/>
  <c r="D39" i="14"/>
  <c r="C39" i="14"/>
  <c r="P38" i="14"/>
  <c r="N38" i="14"/>
  <c r="M38" i="14"/>
  <c r="L38" i="14"/>
  <c r="K38" i="14"/>
  <c r="J38" i="14"/>
  <c r="I38" i="14"/>
  <c r="H38" i="14"/>
  <c r="G38" i="14"/>
  <c r="E38" i="14"/>
  <c r="D38" i="14"/>
  <c r="C38" i="14"/>
  <c r="P37" i="14"/>
  <c r="N37" i="14"/>
  <c r="M37" i="14"/>
  <c r="L37" i="14"/>
  <c r="K37" i="14"/>
  <c r="J37" i="14"/>
  <c r="I37" i="14"/>
  <c r="H37" i="14"/>
  <c r="G37" i="14"/>
  <c r="F37" i="14"/>
  <c r="E37" i="14"/>
  <c r="D37" i="14"/>
  <c r="C37" i="14"/>
  <c r="P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P35" i="14"/>
  <c r="N35" i="14"/>
  <c r="M35" i="14"/>
  <c r="L35" i="14"/>
  <c r="K35" i="14"/>
  <c r="J35" i="14"/>
  <c r="I35" i="14"/>
  <c r="H35" i="14"/>
  <c r="G35" i="14"/>
  <c r="F35" i="14"/>
  <c r="Q35" i="14" s="1"/>
  <c r="E35" i="14"/>
  <c r="D35" i="14"/>
  <c r="C35" i="14"/>
  <c r="P34" i="14"/>
  <c r="N34" i="14"/>
  <c r="M34" i="14"/>
  <c r="L34" i="14"/>
  <c r="K34" i="14"/>
  <c r="J34" i="14"/>
  <c r="I34" i="14"/>
  <c r="H34" i="14"/>
  <c r="G34" i="14"/>
  <c r="F34" i="14"/>
  <c r="Q34" i="14" s="1"/>
  <c r="E34" i="14"/>
  <c r="D34" i="14"/>
  <c r="C34" i="14"/>
  <c r="P33" i="14"/>
  <c r="C17" i="30" s="1"/>
  <c r="N33" i="14"/>
  <c r="C16" i="30" s="1"/>
  <c r="M33" i="14"/>
  <c r="C15" i="30" s="1"/>
  <c r="L33" i="14"/>
  <c r="C14" i="30" s="1"/>
  <c r="K33" i="14"/>
  <c r="C13" i="30" s="1"/>
  <c r="J33" i="14"/>
  <c r="C12" i="30" s="1"/>
  <c r="I33" i="14"/>
  <c r="C11" i="30" s="1"/>
  <c r="H33" i="14"/>
  <c r="C10" i="30" s="1"/>
  <c r="G33" i="14"/>
  <c r="C9" i="30" s="1"/>
  <c r="F33" i="14"/>
  <c r="E33" i="14"/>
  <c r="C7" i="30" s="1"/>
  <c r="D33" i="14"/>
  <c r="C6" i="30" s="1"/>
  <c r="C33" i="14"/>
  <c r="P32" i="14"/>
  <c r="N32" i="14"/>
  <c r="M32" i="14"/>
  <c r="L32" i="14"/>
  <c r="K32" i="14"/>
  <c r="J32" i="14"/>
  <c r="I32" i="14"/>
  <c r="H32" i="14"/>
  <c r="G32" i="14"/>
  <c r="F32" i="14"/>
  <c r="Q32" i="14" s="1"/>
  <c r="E32" i="14"/>
  <c r="D32" i="14"/>
  <c r="C32" i="14"/>
  <c r="P31" i="14"/>
  <c r="N31" i="14"/>
  <c r="M31" i="14"/>
  <c r="L31" i="14"/>
  <c r="K31" i="14"/>
  <c r="J31" i="14"/>
  <c r="I31" i="14"/>
  <c r="H31" i="14"/>
  <c r="G31" i="14"/>
  <c r="F31" i="14"/>
  <c r="Q31" i="14" s="1"/>
  <c r="E31" i="14"/>
  <c r="D31" i="14"/>
  <c r="C31" i="14"/>
  <c r="P30" i="14"/>
  <c r="N30" i="14"/>
  <c r="M30" i="14"/>
  <c r="L30" i="14"/>
  <c r="K30" i="14"/>
  <c r="J30" i="14"/>
  <c r="I30" i="14"/>
  <c r="H30" i="14"/>
  <c r="G30" i="14"/>
  <c r="F30" i="14"/>
  <c r="Q30" i="14" s="1"/>
  <c r="E30" i="14"/>
  <c r="D30" i="14"/>
  <c r="C30" i="14"/>
  <c r="C49" i="27"/>
  <c r="C44" i="27"/>
  <c r="C43" i="27"/>
  <c r="C41" i="27"/>
  <c r="C38" i="27"/>
  <c r="B4" i="23"/>
  <c r="M60" i="15"/>
  <c r="N60" i="15" s="1"/>
  <c r="M51" i="15"/>
  <c r="N51" i="15" s="1"/>
  <c r="H29" i="14"/>
  <c r="G29" i="14"/>
  <c r="F29" i="14"/>
  <c r="Q29" i="14" s="1"/>
  <c r="E29" i="14"/>
  <c r="D29" i="14"/>
  <c r="C29" i="14"/>
  <c r="P28" i="14"/>
  <c r="N28" i="14"/>
  <c r="M28" i="14"/>
  <c r="L28" i="14"/>
  <c r="K28" i="14"/>
  <c r="J28" i="14"/>
  <c r="I28" i="14"/>
  <c r="H28" i="14"/>
  <c r="G28" i="14"/>
  <c r="F28" i="14"/>
  <c r="Q28" i="14" s="1"/>
  <c r="E28" i="14"/>
  <c r="D28" i="14"/>
  <c r="C28" i="14"/>
  <c r="P27" i="14"/>
  <c r="N27" i="14"/>
  <c r="M27" i="14"/>
  <c r="L27" i="14"/>
  <c r="K27" i="14"/>
  <c r="J27" i="14"/>
  <c r="I27" i="14"/>
  <c r="H27" i="14"/>
  <c r="G27" i="14"/>
  <c r="F27" i="14"/>
  <c r="Q27" i="14" s="1"/>
  <c r="E27" i="14"/>
  <c r="D27" i="14"/>
  <c r="C27" i="14"/>
  <c r="P26" i="14"/>
  <c r="N26" i="14"/>
  <c r="M26" i="14"/>
  <c r="L26" i="14"/>
  <c r="K26" i="14"/>
  <c r="J26" i="14"/>
  <c r="I26" i="14"/>
  <c r="H26" i="14"/>
  <c r="G26" i="14"/>
  <c r="F26" i="14"/>
  <c r="Q26" i="14" s="1"/>
  <c r="E26" i="14"/>
  <c r="D26" i="14"/>
  <c r="C26" i="14"/>
  <c r="P25" i="14"/>
  <c r="N25" i="14"/>
  <c r="M25" i="14"/>
  <c r="L25" i="14"/>
  <c r="K25" i="14"/>
  <c r="J25" i="14"/>
  <c r="I25" i="14"/>
  <c r="H25" i="14"/>
  <c r="G25" i="14"/>
  <c r="F25" i="14"/>
  <c r="Q25" i="14" s="1"/>
  <c r="E25" i="14"/>
  <c r="D25" i="14"/>
  <c r="C25" i="14"/>
  <c r="P24" i="14"/>
  <c r="N24" i="14"/>
  <c r="M24" i="14"/>
  <c r="L24" i="14"/>
  <c r="K24" i="14"/>
  <c r="J24" i="14"/>
  <c r="I24" i="14"/>
  <c r="H24" i="14"/>
  <c r="G24" i="14"/>
  <c r="F24" i="14"/>
  <c r="Q24" i="14" s="1"/>
  <c r="E24" i="14"/>
  <c r="D24" i="14"/>
  <c r="C24" i="14"/>
  <c r="P23" i="14"/>
  <c r="N23" i="14"/>
  <c r="M23" i="14"/>
  <c r="L23" i="14"/>
  <c r="K23" i="14"/>
  <c r="J23" i="14"/>
  <c r="I23" i="14"/>
  <c r="H23" i="14"/>
  <c r="G23" i="14"/>
  <c r="F23" i="14"/>
  <c r="Q23" i="14" s="1"/>
  <c r="E23" i="14"/>
  <c r="D23" i="14"/>
  <c r="C23" i="14"/>
  <c r="P22" i="14"/>
  <c r="N22" i="14"/>
  <c r="M22" i="14"/>
  <c r="L22" i="14"/>
  <c r="K22" i="14"/>
  <c r="J22" i="14"/>
  <c r="I22" i="14"/>
  <c r="H22" i="14"/>
  <c r="G22" i="14"/>
  <c r="F22" i="14"/>
  <c r="Q22" i="14" s="1"/>
  <c r="E22" i="14"/>
  <c r="D22" i="14"/>
  <c r="C22" i="14"/>
  <c r="B8" i="6"/>
  <c r="B5" i="28"/>
  <c r="C46" i="27"/>
  <c r="C45" i="27"/>
  <c r="B28" i="27"/>
  <c r="B23" i="27"/>
  <c r="M64" i="15"/>
  <c r="N64" i="15" s="1"/>
  <c r="M62" i="15"/>
  <c r="N62" i="15" s="1"/>
  <c r="M54" i="15"/>
  <c r="N54" i="15" s="1"/>
  <c r="M50" i="15"/>
  <c r="N50" i="15" s="1"/>
  <c r="Q37" i="14" l="1"/>
  <c r="G9" i="22"/>
  <c r="G10" i="22" s="1"/>
  <c r="G13" i="22"/>
  <c r="G14" i="22"/>
  <c r="F9" i="22"/>
  <c r="F10" i="22" s="1"/>
  <c r="F13" i="22"/>
  <c r="F14" i="22"/>
  <c r="E9" i="22"/>
  <c r="E10" i="22" s="1"/>
  <c r="E13" i="22"/>
  <c r="E14" i="22"/>
  <c r="D9" i="22"/>
  <c r="D10" i="22" s="1"/>
  <c r="D13" i="22"/>
  <c r="D14" i="22"/>
  <c r="C9" i="22"/>
  <c r="C10" i="22" s="1"/>
  <c r="C13" i="22"/>
  <c r="C14" i="22"/>
  <c r="B9" i="22"/>
  <c r="B10" i="22" s="1"/>
  <c r="B13" i="22"/>
  <c r="B14" i="22"/>
  <c r="N77" i="15"/>
  <c r="B5" i="38"/>
  <c r="M3" i="15"/>
  <c r="E17" i="15"/>
  <c r="D18" i="15"/>
  <c r="B5" i="20"/>
  <c r="C17" i="15"/>
  <c r="B7" i="20" s="1"/>
  <c r="F16" i="15"/>
  <c r="G16" i="15"/>
  <c r="H16" i="15"/>
  <c r="C15" i="16" s="1"/>
  <c r="F15" i="15"/>
  <c r="G15" i="15"/>
  <c r="H15" i="15"/>
  <c r="C14" i="16" s="1"/>
  <c r="F14" i="15"/>
  <c r="G14" i="15"/>
  <c r="H14" i="15"/>
  <c r="C13" i="16" s="1"/>
  <c r="B11" i="16"/>
  <c r="G11" i="16"/>
  <c r="G10" i="15"/>
  <c r="H10" i="15"/>
  <c r="C9" i="16" s="1"/>
  <c r="F10" i="15"/>
  <c r="F7" i="15"/>
  <c r="G7" i="15"/>
  <c r="H7" i="15"/>
  <c r="C6" i="16" s="1"/>
  <c r="F6" i="15"/>
  <c r="G6" i="15"/>
  <c r="H6" i="15"/>
  <c r="F13" i="15"/>
  <c r="G13" i="15"/>
  <c r="H13" i="15"/>
  <c r="C12" i="16" s="1"/>
  <c r="F11" i="15"/>
  <c r="G11" i="15"/>
  <c r="H11" i="15"/>
  <c r="C10" i="16" s="1"/>
  <c r="F9" i="15"/>
  <c r="G9" i="15"/>
  <c r="H9" i="15"/>
  <c r="C8" i="16" s="1"/>
  <c r="F8" i="15"/>
  <c r="G8" i="15"/>
  <c r="H8" i="15"/>
  <c r="C7" i="16" s="1"/>
  <c r="H5" i="30"/>
  <c r="G5" i="30"/>
  <c r="F5" i="30"/>
  <c r="E5" i="30"/>
  <c r="D5" i="30"/>
  <c r="R39" i="14"/>
  <c r="R38" i="14"/>
  <c r="O37" i="14"/>
  <c r="S37" i="14" s="1"/>
  <c r="R37" i="14"/>
  <c r="O36" i="14"/>
  <c r="S36" i="14" s="1"/>
  <c r="R36" i="14"/>
  <c r="O35" i="14"/>
  <c r="S35" i="14" s="1"/>
  <c r="R35" i="14"/>
  <c r="O34" i="14"/>
  <c r="S34" i="14" s="1"/>
  <c r="R34" i="14"/>
  <c r="Q33" i="14"/>
  <c r="C8" i="30"/>
  <c r="O33" i="14"/>
  <c r="S33" i="14" s="1"/>
  <c r="C18" i="30" s="1"/>
  <c r="R33" i="14"/>
  <c r="C5" i="30"/>
  <c r="O32" i="14"/>
  <c r="S32" i="14" s="1"/>
  <c r="R32" i="14"/>
  <c r="I16" i="15" s="1"/>
  <c r="E15" i="16" s="1"/>
  <c r="O31" i="14"/>
  <c r="S31" i="14" s="1"/>
  <c r="R31" i="14"/>
  <c r="I15" i="15" s="1"/>
  <c r="E14" i="16" s="1"/>
  <c r="O30" i="14"/>
  <c r="S30" i="14" s="1"/>
  <c r="R30" i="14"/>
  <c r="I14" i="15" s="1"/>
  <c r="E13" i="16" s="1"/>
  <c r="O29" i="14"/>
  <c r="S29" i="14" s="1"/>
  <c r="R29" i="14"/>
  <c r="I13" i="15" s="1"/>
  <c r="E12" i="16" s="1"/>
  <c r="O28" i="14"/>
  <c r="S28" i="14" s="1"/>
  <c r="R28" i="14"/>
  <c r="I12" i="15" s="1"/>
  <c r="E11" i="16" s="1"/>
  <c r="O27" i="14"/>
  <c r="S27" i="14" s="1"/>
  <c r="R27" i="14"/>
  <c r="I11" i="15" s="1"/>
  <c r="E10" i="16" s="1"/>
  <c r="O26" i="14"/>
  <c r="S26" i="14" s="1"/>
  <c r="R26" i="14"/>
  <c r="I10" i="15" s="1"/>
  <c r="E9" i="16" s="1"/>
  <c r="O25" i="14"/>
  <c r="S25" i="14" s="1"/>
  <c r="R25" i="14"/>
  <c r="I9" i="15" s="1"/>
  <c r="E8" i="16" s="1"/>
  <c r="O24" i="14"/>
  <c r="S24" i="14" s="1"/>
  <c r="R24" i="14"/>
  <c r="I8" i="15" s="1"/>
  <c r="E7" i="16" s="1"/>
  <c r="O23" i="14"/>
  <c r="S23" i="14" s="1"/>
  <c r="R23" i="14"/>
  <c r="I7" i="15" s="1"/>
  <c r="E6" i="16" s="1"/>
  <c r="O22" i="14"/>
  <c r="S22" i="14" s="1"/>
  <c r="R22" i="14"/>
  <c r="E36" i="27"/>
  <c r="E45" i="27"/>
  <c r="E46" i="27"/>
  <c r="E40" i="27"/>
  <c r="E41" i="27"/>
  <c r="E42" i="27"/>
  <c r="E44" i="27"/>
  <c r="E37" i="27"/>
  <c r="E38" i="27"/>
  <c r="E43" i="27"/>
  <c r="B31" i="27"/>
  <c r="E39" i="27"/>
  <c r="E47" i="27"/>
  <c r="E48" i="27"/>
  <c r="E49" i="27"/>
  <c r="Q36" i="14"/>
  <c r="B6" i="38" l="1"/>
  <c r="B9" i="3"/>
  <c r="B4" i="24"/>
  <c r="N3" i="15"/>
  <c r="F17" i="15"/>
  <c r="G17" i="15"/>
  <c r="H17" i="15"/>
  <c r="C16" i="16" s="1"/>
  <c r="B6" i="20"/>
  <c r="B8" i="19"/>
  <c r="E18" i="15"/>
  <c r="D19" i="15"/>
  <c r="C18" i="15"/>
  <c r="J16" i="15"/>
  <c r="F15" i="16" s="1"/>
  <c r="B15" i="16"/>
  <c r="D15" i="16"/>
  <c r="G15" i="16"/>
  <c r="J15" i="15"/>
  <c r="F14" i="16" s="1"/>
  <c r="B14" i="16"/>
  <c r="D14" i="16"/>
  <c r="G14" i="16"/>
  <c r="J14" i="15"/>
  <c r="F13" i="16" s="1"/>
  <c r="B13" i="16"/>
  <c r="D13" i="16"/>
  <c r="G13" i="16"/>
  <c r="J10" i="15"/>
  <c r="F9" i="16" s="1"/>
  <c r="B9" i="16"/>
  <c r="D9" i="16"/>
  <c r="G9" i="16"/>
  <c r="J7" i="15"/>
  <c r="F6" i="16" s="1"/>
  <c r="B6" i="16"/>
  <c r="D6" i="16"/>
  <c r="G6" i="16"/>
  <c r="B5" i="16"/>
  <c r="D5" i="16"/>
  <c r="G5" i="16"/>
  <c r="C5" i="16"/>
  <c r="J13" i="15"/>
  <c r="F12" i="16" s="1"/>
  <c r="B12" i="16"/>
  <c r="D12" i="16"/>
  <c r="G12" i="16"/>
  <c r="J11" i="15"/>
  <c r="F10" i="16" s="1"/>
  <c r="B10" i="16"/>
  <c r="D10" i="16"/>
  <c r="G10" i="16"/>
  <c r="J9" i="15"/>
  <c r="F8" i="16" s="1"/>
  <c r="B8" i="16"/>
  <c r="D8" i="16"/>
  <c r="G8" i="16"/>
  <c r="J8" i="15"/>
  <c r="F7" i="16" s="1"/>
  <c r="B7" i="16"/>
  <c r="D7" i="16"/>
  <c r="G7" i="16"/>
  <c r="I6" i="15"/>
  <c r="B5" i="31"/>
  <c r="H12" i="15"/>
  <c r="B32" i="27"/>
  <c r="B47" i="50"/>
  <c r="B4" i="28"/>
  <c r="B5" i="26"/>
  <c r="I17" i="15"/>
  <c r="E16" i="16" s="1"/>
  <c r="I18" i="15" l="1"/>
  <c r="J17" i="15"/>
  <c r="F16" i="16" s="1"/>
  <c r="B16" i="16"/>
  <c r="D16" i="16"/>
  <c r="G16" i="16"/>
  <c r="B6" i="6"/>
  <c r="B7" i="6" s="1"/>
  <c r="B9" i="6" s="1"/>
  <c r="C5" i="6"/>
  <c r="C8" i="6" s="1"/>
  <c r="F18" i="15"/>
  <c r="G18" i="15"/>
  <c r="H18" i="15"/>
  <c r="E19" i="15"/>
  <c r="D20" i="15"/>
  <c r="C19" i="15"/>
  <c r="E17" i="16"/>
  <c r="E5" i="16"/>
  <c r="B8" i="17"/>
  <c r="B8" i="18"/>
  <c r="B6" i="31"/>
  <c r="B7" i="31" s="1"/>
  <c r="J12" i="15"/>
  <c r="F11" i="16" s="1"/>
  <c r="D11" i="16"/>
  <c r="C11" i="16"/>
  <c r="B6" i="17"/>
  <c r="J6" i="15"/>
  <c r="B5" i="17"/>
  <c r="B7" i="17" s="1"/>
  <c r="B5" i="18"/>
  <c r="B5" i="19"/>
  <c r="B6" i="18"/>
  <c r="J18" i="15" l="1"/>
  <c r="B17" i="16"/>
  <c r="D17" i="16"/>
  <c r="G17" i="16"/>
  <c r="C17" i="16"/>
  <c r="I19" i="15"/>
  <c r="F19" i="15"/>
  <c r="G19" i="15"/>
  <c r="H19" i="15"/>
  <c r="C18" i="16" s="1"/>
  <c r="E20" i="15"/>
  <c r="D21" i="15"/>
  <c r="C20" i="15"/>
  <c r="B6" i="36"/>
  <c r="B7" i="36" s="1"/>
  <c r="B8" i="36" s="1"/>
  <c r="B5" i="33"/>
  <c r="B7" i="33" s="1"/>
  <c r="B9" i="17"/>
  <c r="B10" i="17" s="1"/>
  <c r="B5" i="36"/>
  <c r="B5" i="34"/>
  <c r="B8" i="34" s="1"/>
  <c r="F5" i="16"/>
  <c r="K6" i="15"/>
  <c r="B6" i="19"/>
  <c r="B7" i="18"/>
  <c r="B9" i="18" s="1"/>
  <c r="B10" i="18" s="1"/>
  <c r="F17" i="16" l="1"/>
  <c r="E18" i="16"/>
  <c r="J19" i="15"/>
  <c r="B18" i="16"/>
  <c r="D18" i="16"/>
  <c r="G18" i="16"/>
  <c r="I20" i="15"/>
  <c r="E19" i="16" s="1"/>
  <c r="F20" i="15"/>
  <c r="G20" i="15"/>
  <c r="H20" i="15"/>
  <c r="C19" i="16" s="1"/>
  <c r="E21" i="15"/>
  <c r="D22" i="15"/>
  <c r="C21" i="15"/>
  <c r="K7" i="15"/>
  <c r="K8" i="15" s="1"/>
  <c r="K9" i="15" s="1"/>
  <c r="K10" i="15" s="1"/>
  <c r="K11" i="15" s="1"/>
  <c r="K12" i="15" s="1"/>
  <c r="K13" i="15" s="1"/>
  <c r="K14" i="15" s="1"/>
  <c r="K15" i="15" s="1"/>
  <c r="K16" i="15" s="1"/>
  <c r="K17" i="15" s="1"/>
  <c r="B7" i="19"/>
  <c r="F18" i="16" l="1"/>
  <c r="J20" i="15"/>
  <c r="F19" i="16" s="1"/>
  <c r="B19" i="16"/>
  <c r="D19" i="16"/>
  <c r="I21" i="15"/>
  <c r="E20" i="16" s="1"/>
  <c r="F21" i="15"/>
  <c r="G21" i="15"/>
  <c r="H21" i="15"/>
  <c r="C20" i="16" s="1"/>
  <c r="E22" i="15"/>
  <c r="D23" i="15"/>
  <c r="C22" i="15"/>
  <c r="F38" i="14" s="1"/>
  <c r="K18" i="15"/>
  <c r="K19" i="15" s="1"/>
  <c r="K20" i="15" s="1"/>
  <c r="B8" i="33"/>
  <c r="B9" i="34"/>
  <c r="B11" i="17"/>
  <c r="G19" i="16" l="1"/>
  <c r="J21" i="15"/>
  <c r="B20" i="16"/>
  <c r="D20" i="16"/>
  <c r="G20" i="16"/>
  <c r="I22" i="15"/>
  <c r="E21" i="16" s="1"/>
  <c r="F22" i="15"/>
  <c r="G22" i="15"/>
  <c r="E23" i="15"/>
  <c r="D24" i="15"/>
  <c r="C23" i="15"/>
  <c r="F39" i="14" s="1"/>
  <c r="O38" i="14"/>
  <c r="S38" i="14" s="1"/>
  <c r="Q38" i="14"/>
  <c r="K21" i="15" l="1"/>
  <c r="F20" i="16"/>
  <c r="B21" i="16"/>
  <c r="I23" i="15"/>
  <c r="E22" i="16" s="1"/>
  <c r="F23" i="15"/>
  <c r="G23" i="15"/>
  <c r="H23" i="15"/>
  <c r="C22" i="16" s="1"/>
  <c r="E24" i="15"/>
  <c r="D25" i="15"/>
  <c r="C24" i="15"/>
  <c r="F40" i="14" s="1"/>
  <c r="O39" i="14"/>
  <c r="S39" i="14" s="1"/>
  <c r="Q39" i="14"/>
  <c r="H22" i="15"/>
  <c r="C21" i="16" s="1"/>
  <c r="J23" i="15" l="1"/>
  <c r="F22" i="16" s="1"/>
  <c r="B22" i="16"/>
  <c r="D22" i="16"/>
  <c r="F24" i="15"/>
  <c r="G24" i="15"/>
  <c r="E25" i="15"/>
  <c r="D26" i="15"/>
  <c r="C25" i="15"/>
  <c r="F41" i="14" s="1"/>
  <c r="O40" i="14"/>
  <c r="Q40" i="14"/>
  <c r="J22" i="15"/>
  <c r="D21" i="16"/>
  <c r="K22" i="15" l="1"/>
  <c r="K23" i="15" s="1"/>
  <c r="B23" i="16"/>
  <c r="F25" i="15"/>
  <c r="G25" i="15"/>
  <c r="E26" i="15"/>
  <c r="D27" i="15"/>
  <c r="C26" i="15"/>
  <c r="F42" i="14" s="1"/>
  <c r="O41" i="14"/>
  <c r="Q41" i="14"/>
  <c r="P40" i="14"/>
  <c r="R40" i="14" s="1"/>
  <c r="F21" i="16"/>
  <c r="G21" i="16"/>
  <c r="G22" i="16"/>
  <c r="H24" i="15"/>
  <c r="C23" i="16" s="1"/>
  <c r="B24" i="16" l="1"/>
  <c r="F26" i="15"/>
  <c r="G26" i="15"/>
  <c r="E27" i="15"/>
  <c r="D28" i="15"/>
  <c r="C27" i="15"/>
  <c r="F43" i="14" s="1"/>
  <c r="O42" i="14"/>
  <c r="Q42" i="14"/>
  <c r="P41" i="14"/>
  <c r="R41" i="14" s="1"/>
  <c r="I25" i="15" s="1"/>
  <c r="E24" i="16" s="1"/>
  <c r="I24" i="15"/>
  <c r="E23" i="16" s="1"/>
  <c r="S40" i="14"/>
  <c r="D23" i="16"/>
  <c r="H25" i="15"/>
  <c r="C24" i="16" s="1"/>
  <c r="D24" i="16" l="1"/>
  <c r="J24" i="15"/>
  <c r="B25" i="16"/>
  <c r="D25" i="16"/>
  <c r="F27" i="15"/>
  <c r="G27" i="15"/>
  <c r="E28" i="15"/>
  <c r="D29" i="15"/>
  <c r="C28" i="15"/>
  <c r="F44" i="14" s="1"/>
  <c r="O43" i="14"/>
  <c r="Q43" i="14"/>
  <c r="P42" i="14"/>
  <c r="R42" i="14" s="1"/>
  <c r="F23" i="16"/>
  <c r="H26" i="15"/>
  <c r="C25" i="16" s="1"/>
  <c r="S41" i="14"/>
  <c r="J25" i="15"/>
  <c r="K24" i="15" l="1"/>
  <c r="K25" i="15" s="1"/>
  <c r="G23" i="16"/>
  <c r="B26" i="16"/>
  <c r="F28" i="15"/>
  <c r="G28" i="15"/>
  <c r="E29" i="15"/>
  <c r="D30" i="15"/>
  <c r="C5" i="20"/>
  <c r="C29" i="15"/>
  <c r="O44" i="14"/>
  <c r="Q44" i="14"/>
  <c r="P43" i="14"/>
  <c r="R43" i="14" s="1"/>
  <c r="I27" i="15" s="1"/>
  <c r="E26" i="16" s="1"/>
  <c r="I26" i="15"/>
  <c r="G24" i="16"/>
  <c r="F24" i="16"/>
  <c r="H27" i="15"/>
  <c r="C26" i="16" s="1"/>
  <c r="S42" i="14"/>
  <c r="H28" i="15" l="1"/>
  <c r="C27" i="16" s="1"/>
  <c r="B27" i="16"/>
  <c r="D27" i="16"/>
  <c r="F29" i="15"/>
  <c r="G29" i="15"/>
  <c r="C8" i="19"/>
  <c r="C6" i="20"/>
  <c r="E30" i="15"/>
  <c r="D31" i="15"/>
  <c r="C30" i="15"/>
  <c r="C7" i="20"/>
  <c r="F45" i="14"/>
  <c r="P44" i="14"/>
  <c r="R44" i="14" s="1"/>
  <c r="I28" i="15" s="1"/>
  <c r="E27" i="16" s="1"/>
  <c r="J26" i="15"/>
  <c r="E25" i="16"/>
  <c r="J27" i="15"/>
  <c r="D26" i="16"/>
  <c r="S43" i="14"/>
  <c r="C5" i="17" l="1"/>
  <c r="C5" i="19"/>
  <c r="C5" i="18"/>
  <c r="B28" i="16"/>
  <c r="D5" i="6"/>
  <c r="D8" i="6" s="1"/>
  <c r="C6" i="6"/>
  <c r="C7" i="6" s="1"/>
  <c r="C9" i="6" s="1"/>
  <c r="F30" i="15"/>
  <c r="G30" i="15"/>
  <c r="E31" i="15"/>
  <c r="D32" i="15"/>
  <c r="C31" i="15"/>
  <c r="F47" i="14" s="1"/>
  <c r="F46" i="14"/>
  <c r="O45" i="14"/>
  <c r="D8" i="30"/>
  <c r="Q45" i="14"/>
  <c r="H29" i="15" s="1"/>
  <c r="K26" i="15"/>
  <c r="K27" i="15" s="1"/>
  <c r="K28" i="15" s="1"/>
  <c r="G25" i="16"/>
  <c r="F25" i="16"/>
  <c r="G26" i="16"/>
  <c r="F26" i="16"/>
  <c r="S44" i="14"/>
  <c r="J28" i="15"/>
  <c r="C6" i="19" l="1"/>
  <c r="C7" i="19"/>
  <c r="B29" i="16"/>
  <c r="F31" i="15"/>
  <c r="G31" i="15"/>
  <c r="E32" i="15"/>
  <c r="D33" i="15"/>
  <c r="C32" i="15"/>
  <c r="O47" i="14"/>
  <c r="Q47" i="14"/>
  <c r="O46" i="14"/>
  <c r="Q46" i="14"/>
  <c r="H30" i="15" s="1"/>
  <c r="P45" i="14"/>
  <c r="C28" i="16"/>
  <c r="C6" i="17"/>
  <c r="C7" i="17" s="1"/>
  <c r="C6" i="18"/>
  <c r="C7" i="18" s="1"/>
  <c r="G27" i="16"/>
  <c r="F27" i="16"/>
  <c r="D28" i="16"/>
  <c r="B30" i="16" l="1"/>
  <c r="F32" i="15"/>
  <c r="G32" i="15"/>
  <c r="E33" i="15"/>
  <c r="D34" i="15"/>
  <c r="C33" i="15"/>
  <c r="F49" i="14" s="1"/>
  <c r="F48" i="14"/>
  <c r="P47" i="14"/>
  <c r="R47" i="14" s="1"/>
  <c r="I31" i="15" s="1"/>
  <c r="E30" i="16" s="1"/>
  <c r="P46" i="14"/>
  <c r="R46" i="14" s="1"/>
  <c r="C29" i="16"/>
  <c r="R45" i="14"/>
  <c r="D17" i="30"/>
  <c r="S45" i="14"/>
  <c r="D18" i="30" s="1"/>
  <c r="D29" i="16"/>
  <c r="H31" i="15"/>
  <c r="C30" i="16" s="1"/>
  <c r="B31" i="16" l="1"/>
  <c r="F33" i="15"/>
  <c r="G33" i="15"/>
  <c r="E34" i="15"/>
  <c r="D35" i="15"/>
  <c r="C34" i="15"/>
  <c r="F50" i="14" s="1"/>
  <c r="O49" i="14"/>
  <c r="Q49" i="14"/>
  <c r="O48" i="14"/>
  <c r="Q48" i="14"/>
  <c r="H32" i="15" s="1"/>
  <c r="C31" i="16" s="1"/>
  <c r="I30" i="15"/>
  <c r="C5" i="31"/>
  <c r="I29" i="15"/>
  <c r="D30" i="16"/>
  <c r="J31" i="15"/>
  <c r="S47" i="14"/>
  <c r="S46" i="14"/>
  <c r="B32" i="16" l="1"/>
  <c r="I50" i="14"/>
  <c r="J50" i="14"/>
  <c r="G50" i="14"/>
  <c r="F34" i="15"/>
  <c r="G34" i="15"/>
  <c r="E35" i="15"/>
  <c r="D36" i="15"/>
  <c r="C35" i="15"/>
  <c r="P49" i="14"/>
  <c r="R49" i="14" s="1"/>
  <c r="I33" i="15" s="1"/>
  <c r="E32" i="16" s="1"/>
  <c r="P48" i="14"/>
  <c r="R48" i="14" s="1"/>
  <c r="J30" i="15"/>
  <c r="E29" i="16"/>
  <c r="J29" i="15"/>
  <c r="C8" i="17"/>
  <c r="C8" i="18"/>
  <c r="C9" i="18" s="1"/>
  <c r="C10" i="18" s="1"/>
  <c r="C6" i="31"/>
  <c r="C7" i="31" s="1"/>
  <c r="E28" i="16"/>
  <c r="G30" i="16"/>
  <c r="F30" i="16"/>
  <c r="D31" i="16"/>
  <c r="H33" i="15"/>
  <c r="B33" i="16" l="1"/>
  <c r="G51" i="14"/>
  <c r="I51" i="14"/>
  <c r="J51" i="14"/>
  <c r="F35" i="15"/>
  <c r="G35" i="15"/>
  <c r="E36" i="15"/>
  <c r="D37" i="15"/>
  <c r="C36" i="15"/>
  <c r="F52" i="14" s="1"/>
  <c r="F51" i="14"/>
  <c r="I32" i="15"/>
  <c r="G29" i="16"/>
  <c r="F29" i="16"/>
  <c r="G28" i="16"/>
  <c r="K29" i="15"/>
  <c r="C6" i="36"/>
  <c r="C7" i="36" s="1"/>
  <c r="C8" i="36" s="1"/>
  <c r="C5" i="33"/>
  <c r="C7" i="33" s="1"/>
  <c r="C9" i="17"/>
  <c r="C10" i="17" s="1"/>
  <c r="C5" i="36"/>
  <c r="C5" i="34"/>
  <c r="C8" i="34" s="1"/>
  <c r="F28" i="16"/>
  <c r="C32" i="16"/>
  <c r="D32" i="16"/>
  <c r="Q50" i="14"/>
  <c r="H34" i="15" s="1"/>
  <c r="C33" i="16" s="1"/>
  <c r="O50" i="14"/>
  <c r="S48" i="14"/>
  <c r="J33" i="15"/>
  <c r="S49" i="14"/>
  <c r="B34" i="16" l="1"/>
  <c r="G52" i="14"/>
  <c r="H52" i="14"/>
  <c r="I52" i="14"/>
  <c r="J52" i="14"/>
  <c r="F36" i="15"/>
  <c r="G36" i="15"/>
  <c r="E37" i="15"/>
  <c r="D38" i="15"/>
  <c r="C37" i="15"/>
  <c r="F53" i="14" s="1"/>
  <c r="O51" i="14"/>
  <c r="Q51" i="14"/>
  <c r="H35" i="15" s="1"/>
  <c r="C34" i="16" s="1"/>
  <c r="J32" i="15"/>
  <c r="E31" i="16"/>
  <c r="K30" i="15"/>
  <c r="K31" i="15" s="1"/>
  <c r="K32" i="15" s="1"/>
  <c r="K33" i="15" s="1"/>
  <c r="C8" i="33"/>
  <c r="C11" i="17"/>
  <c r="C9" i="34"/>
  <c r="P50" i="14"/>
  <c r="R50" i="14" s="1"/>
  <c r="G32" i="16"/>
  <c r="F32" i="16"/>
  <c r="D33" i="16"/>
  <c r="B35" i="16" l="1"/>
  <c r="G53" i="14"/>
  <c r="H53" i="14"/>
  <c r="I53" i="14"/>
  <c r="J53" i="14"/>
  <c r="F37" i="15"/>
  <c r="G37" i="15"/>
  <c r="E38" i="15"/>
  <c r="D39" i="15"/>
  <c r="C38" i="15"/>
  <c r="P51" i="14"/>
  <c r="R51" i="14" s="1"/>
  <c r="I35" i="15" s="1"/>
  <c r="E34" i="16" s="1"/>
  <c r="F31" i="16"/>
  <c r="G31" i="16"/>
  <c r="I34" i="15"/>
  <c r="O52" i="14"/>
  <c r="Q52" i="14"/>
  <c r="H36" i="15" s="1"/>
  <c r="C35" i="16" s="1"/>
  <c r="S50" i="14"/>
  <c r="D34" i="16"/>
  <c r="O53" i="14" l="1"/>
  <c r="Q53" i="14"/>
  <c r="J35" i="15"/>
  <c r="B36" i="16"/>
  <c r="G54" i="14"/>
  <c r="H54" i="14"/>
  <c r="I54" i="14"/>
  <c r="J54" i="14"/>
  <c r="K54" i="14"/>
  <c r="F38" i="15"/>
  <c r="G38" i="15"/>
  <c r="E39" i="15"/>
  <c r="D40" i="15"/>
  <c r="C39" i="15"/>
  <c r="F54" i="14"/>
  <c r="L54" i="14"/>
  <c r="P53" i="14"/>
  <c r="R53" i="14" s="1"/>
  <c r="I37" i="15" s="1"/>
  <c r="E36" i="16" s="1"/>
  <c r="J34" i="15"/>
  <c r="E33" i="16"/>
  <c r="P52" i="14"/>
  <c r="R52" i="14" s="1"/>
  <c r="D35" i="16"/>
  <c r="S51" i="14"/>
  <c r="F34" i="16" l="1"/>
  <c r="G34" i="16"/>
  <c r="H37" i="15"/>
  <c r="B37" i="16"/>
  <c r="G55" i="14"/>
  <c r="H55" i="14"/>
  <c r="I55" i="14"/>
  <c r="J55" i="14"/>
  <c r="K55" i="14"/>
  <c r="F39" i="15"/>
  <c r="G39" i="15"/>
  <c r="E40" i="15"/>
  <c r="D41" i="15"/>
  <c r="C40" i="15"/>
  <c r="F55" i="14"/>
  <c r="L55" i="14"/>
  <c r="O54" i="14"/>
  <c r="Q54" i="14"/>
  <c r="H38" i="15" s="1"/>
  <c r="C37" i="16" s="1"/>
  <c r="K34" i="15"/>
  <c r="K35" i="15" s="1"/>
  <c r="F33" i="16"/>
  <c r="G33" i="16"/>
  <c r="I36" i="15"/>
  <c r="S53" i="14"/>
  <c r="S52" i="14"/>
  <c r="D36" i="16" l="1"/>
  <c r="C36" i="16"/>
  <c r="J37" i="15"/>
  <c r="B38" i="16"/>
  <c r="G56" i="14"/>
  <c r="H56" i="14"/>
  <c r="I56" i="14"/>
  <c r="J56" i="14"/>
  <c r="K56" i="14"/>
  <c r="F40" i="15"/>
  <c r="G40" i="15"/>
  <c r="E41" i="15"/>
  <c r="D42" i="15"/>
  <c r="D5" i="20"/>
  <c r="C41" i="15"/>
  <c r="F56" i="14"/>
  <c r="L56" i="14"/>
  <c r="Q55" i="14"/>
  <c r="H39" i="15" s="1"/>
  <c r="C38" i="16" s="1"/>
  <c r="M55" i="14"/>
  <c r="P54" i="14"/>
  <c r="R54" i="14" s="1"/>
  <c r="I38" i="15" s="1"/>
  <c r="E37" i="16" s="1"/>
  <c r="J36" i="15"/>
  <c r="E35" i="16"/>
  <c r="D37" i="16"/>
  <c r="G36" i="16" l="1"/>
  <c r="F36" i="16"/>
  <c r="J38" i="15"/>
  <c r="D38" i="16"/>
  <c r="B39" i="16"/>
  <c r="J57" i="14"/>
  <c r="E12" i="30" s="1"/>
  <c r="G57" i="14"/>
  <c r="E9" i="30" s="1"/>
  <c r="H57" i="14"/>
  <c r="E10" i="30" s="1"/>
  <c r="I57" i="14"/>
  <c r="E11" i="30" s="1"/>
  <c r="K57" i="14"/>
  <c r="E13" i="30" s="1"/>
  <c r="F41" i="15"/>
  <c r="G41" i="15"/>
  <c r="D8" i="19"/>
  <c r="D6" i="20"/>
  <c r="E42" i="15"/>
  <c r="D43" i="15"/>
  <c r="C42" i="15"/>
  <c r="D7" i="20"/>
  <c r="L57" i="14"/>
  <c r="F57" i="14"/>
  <c r="Q56" i="14"/>
  <c r="H40" i="15" s="1"/>
  <c r="C39" i="16" s="1"/>
  <c r="M56" i="14"/>
  <c r="K36" i="15"/>
  <c r="K37" i="15" s="1"/>
  <c r="K38" i="15" s="1"/>
  <c r="F35" i="16"/>
  <c r="G35" i="16"/>
  <c r="G37" i="16"/>
  <c r="F37" i="16"/>
  <c r="O55" i="14"/>
  <c r="S54" i="14"/>
  <c r="D39" i="16" l="1"/>
  <c r="D5" i="18"/>
  <c r="D5" i="17"/>
  <c r="D5" i="19"/>
  <c r="B40" i="16"/>
  <c r="D6" i="6"/>
  <c r="D7" i="6" s="1"/>
  <c r="D9" i="6" s="1"/>
  <c r="E5" i="6"/>
  <c r="E8" i="6" s="1"/>
  <c r="G58" i="14"/>
  <c r="H58" i="14"/>
  <c r="I58" i="14"/>
  <c r="J58" i="14"/>
  <c r="K58" i="14"/>
  <c r="F42" i="15"/>
  <c r="G42" i="15"/>
  <c r="E43" i="15"/>
  <c r="D44" i="15"/>
  <c r="C43" i="15"/>
  <c r="F58" i="14"/>
  <c r="L58" i="14"/>
  <c r="M57" i="14"/>
  <c r="E15" i="30" s="1"/>
  <c r="E14" i="30"/>
  <c r="O57" i="14"/>
  <c r="E8" i="30"/>
  <c r="Q57" i="14"/>
  <c r="H41" i="15" s="1"/>
  <c r="P55" i="14"/>
  <c r="R55" i="14" s="1"/>
  <c r="I39" i="15" s="1"/>
  <c r="S55" i="14"/>
  <c r="O56" i="14"/>
  <c r="D6" i="19" l="1"/>
  <c r="B41" i="16"/>
  <c r="G59" i="14"/>
  <c r="H59" i="14"/>
  <c r="I59" i="14"/>
  <c r="J59" i="14"/>
  <c r="K59" i="14"/>
  <c r="F43" i="15"/>
  <c r="G43" i="15"/>
  <c r="E44" i="15"/>
  <c r="D45" i="15"/>
  <c r="C44" i="15"/>
  <c r="F59" i="14"/>
  <c r="L59" i="14"/>
  <c r="Q58" i="14"/>
  <c r="H42" i="15" s="1"/>
  <c r="M58" i="14"/>
  <c r="P57" i="14"/>
  <c r="E17" i="30" s="1"/>
  <c r="C40" i="16"/>
  <c r="D6" i="18"/>
  <c r="D7" i="18" s="1"/>
  <c r="D6" i="17"/>
  <c r="D7" i="17" s="1"/>
  <c r="P56" i="14"/>
  <c r="R56" i="14" s="1"/>
  <c r="I40" i="15" s="1"/>
  <c r="S56" i="14"/>
  <c r="D40" i="16"/>
  <c r="E38" i="16"/>
  <c r="J39" i="15"/>
  <c r="E39" i="16" l="1"/>
  <c r="J40" i="15"/>
  <c r="S57" i="14"/>
  <c r="E18" i="30" s="1"/>
  <c r="R57" i="14"/>
  <c r="B42" i="16"/>
  <c r="G60" i="14"/>
  <c r="H60" i="14"/>
  <c r="I60" i="14"/>
  <c r="J60" i="14"/>
  <c r="K60" i="14"/>
  <c r="G44" i="15"/>
  <c r="F44" i="15"/>
  <c r="C45" i="15"/>
  <c r="E45" i="15"/>
  <c r="D46" i="15"/>
  <c r="F60" i="14"/>
  <c r="L60" i="14"/>
  <c r="Q59" i="14"/>
  <c r="H43" i="15" s="1"/>
  <c r="C42" i="16" s="1"/>
  <c r="M59" i="14"/>
  <c r="C41" i="16"/>
  <c r="F38" i="16"/>
  <c r="G38" i="16"/>
  <c r="K39" i="15"/>
  <c r="O58" i="14"/>
  <c r="D41" i="16"/>
  <c r="D7" i="19"/>
  <c r="D42" i="16" l="1"/>
  <c r="G39" i="16"/>
  <c r="F39" i="16"/>
  <c r="K40" i="15"/>
  <c r="I41" i="15"/>
  <c r="D5" i="31"/>
  <c r="B43" i="16"/>
  <c r="F61" i="14"/>
  <c r="L61" i="14"/>
  <c r="G61" i="14"/>
  <c r="H61" i="14"/>
  <c r="I61" i="14"/>
  <c r="J61" i="14"/>
  <c r="K61" i="14"/>
  <c r="G45" i="15"/>
  <c r="F45" i="15"/>
  <c r="D47" i="15"/>
  <c r="C46" i="15"/>
  <c r="E46" i="15"/>
  <c r="Q60" i="14"/>
  <c r="H44" i="15" s="1"/>
  <c r="C43" i="16" s="1"/>
  <c r="M60" i="14"/>
  <c r="D8" i="17"/>
  <c r="D8" i="18"/>
  <c r="D9" i="18" s="1"/>
  <c r="D10" i="18" s="1"/>
  <c r="P58" i="14"/>
  <c r="R58" i="14" s="1"/>
  <c r="O59" i="14"/>
  <c r="O60" i="14" l="1"/>
  <c r="J41" i="15"/>
  <c r="D6" i="31"/>
  <c r="D7" i="31" s="1"/>
  <c r="E40" i="16"/>
  <c r="S58" i="14"/>
  <c r="Q61" i="14"/>
  <c r="H45" i="15" s="1"/>
  <c r="C44" i="16" s="1"/>
  <c r="M61" i="14"/>
  <c r="B44" i="16"/>
  <c r="C47" i="15"/>
  <c r="E47" i="15"/>
  <c r="D48" i="15"/>
  <c r="F62" i="14"/>
  <c r="L62" i="14"/>
  <c r="G62" i="14"/>
  <c r="H62" i="14"/>
  <c r="I62" i="14"/>
  <c r="J62" i="14"/>
  <c r="K62" i="14"/>
  <c r="G46" i="15"/>
  <c r="F46" i="15"/>
  <c r="P59" i="14"/>
  <c r="R59" i="14" s="1"/>
  <c r="I43" i="15" s="1"/>
  <c r="I42" i="15"/>
  <c r="D43" i="16"/>
  <c r="P60" i="14" l="1"/>
  <c r="R60" i="14" s="1"/>
  <c r="I44" i="15" s="1"/>
  <c r="E43" i="16" s="1"/>
  <c r="K41" i="15"/>
  <c r="G40" i="16"/>
  <c r="D5" i="36"/>
  <c r="D9" i="17"/>
  <c r="D10" i="17" s="1"/>
  <c r="D5" i="33"/>
  <c r="D7" i="33" s="1"/>
  <c r="D5" i="34"/>
  <c r="D8" i="34" s="1"/>
  <c r="D6" i="36"/>
  <c r="D7" i="36" s="1"/>
  <c r="D8" i="36" s="1"/>
  <c r="F40" i="16"/>
  <c r="O61" i="14"/>
  <c r="F63" i="14"/>
  <c r="L63" i="14"/>
  <c r="G63" i="14"/>
  <c r="H63" i="14"/>
  <c r="I63" i="14"/>
  <c r="J63" i="14"/>
  <c r="K63" i="14"/>
  <c r="G47" i="15"/>
  <c r="F47" i="15"/>
  <c r="C48" i="15"/>
  <c r="E48" i="15"/>
  <c r="D49" i="15"/>
  <c r="Q62" i="14"/>
  <c r="H46" i="15" s="1"/>
  <c r="C45" i="16" s="1"/>
  <c r="M62" i="14"/>
  <c r="B45" i="16"/>
  <c r="D11" i="17"/>
  <c r="D8" i="33"/>
  <c r="D9" i="34"/>
  <c r="E41" i="16"/>
  <c r="J42" i="15"/>
  <c r="D44" i="16"/>
  <c r="S60" i="14"/>
  <c r="S59" i="14"/>
  <c r="J43" i="15"/>
  <c r="E42" i="16"/>
  <c r="P61" i="14" l="1"/>
  <c r="J44" i="15"/>
  <c r="O62" i="14"/>
  <c r="O63" i="14"/>
  <c r="Q63" i="14"/>
  <c r="H47" i="15" s="1"/>
  <c r="C46" i="16" s="1"/>
  <c r="M63" i="14"/>
  <c r="B46" i="16"/>
  <c r="F64" i="14"/>
  <c r="L64" i="14"/>
  <c r="F48" i="15"/>
  <c r="G64" i="14"/>
  <c r="H64" i="14"/>
  <c r="I64" i="14"/>
  <c r="J64" i="14"/>
  <c r="K64" i="14"/>
  <c r="G48" i="15"/>
  <c r="C49" i="15"/>
  <c r="E49" i="15"/>
  <c r="D50" i="15"/>
  <c r="F41" i="16"/>
  <c r="G41" i="16"/>
  <c r="G43" i="16"/>
  <c r="F42" i="16"/>
  <c r="G42" i="16"/>
  <c r="D45" i="16"/>
  <c r="K42" i="15"/>
  <c r="K43" i="15" s="1"/>
  <c r="P62" i="14" l="1"/>
  <c r="R62" i="14" s="1"/>
  <c r="I46" i="15" s="1"/>
  <c r="E45" i="16" s="1"/>
  <c r="F43" i="16"/>
  <c r="K44" i="15"/>
  <c r="R61" i="14"/>
  <c r="S61" i="14"/>
  <c r="P63" i="14"/>
  <c r="R63" i="14" s="1"/>
  <c r="I47" i="15" s="1"/>
  <c r="E46" i="16" s="1"/>
  <c r="Q64" i="14"/>
  <c r="H48" i="15" s="1"/>
  <c r="C47" i="16" s="1"/>
  <c r="M64" i="14"/>
  <c r="B47" i="16"/>
  <c r="D47" i="16"/>
  <c r="F65" i="14"/>
  <c r="L65" i="14"/>
  <c r="G65" i="14"/>
  <c r="H65" i="14"/>
  <c r="I65" i="14"/>
  <c r="J65" i="14"/>
  <c r="K65" i="14"/>
  <c r="G49" i="15"/>
  <c r="F49" i="15"/>
  <c r="E50" i="15"/>
  <c r="D51" i="15"/>
  <c r="C50" i="15"/>
  <c r="I45" i="15"/>
  <c r="D46" i="16"/>
  <c r="S62" i="14"/>
  <c r="J46" i="15"/>
  <c r="Q65" i="14" l="1"/>
  <c r="H49" i="15" s="1"/>
  <c r="C48" i="16" s="1"/>
  <c r="M65" i="14"/>
  <c r="B48" i="16"/>
  <c r="G66" i="14"/>
  <c r="H66" i="14"/>
  <c r="I66" i="14"/>
  <c r="J66" i="14"/>
  <c r="K66" i="14"/>
  <c r="F50" i="15"/>
  <c r="G50" i="15"/>
  <c r="D52" i="15"/>
  <c r="C51" i="15"/>
  <c r="E51" i="15"/>
  <c r="F66" i="14"/>
  <c r="L66" i="14"/>
  <c r="J45" i="15"/>
  <c r="E44" i="16"/>
  <c r="F45" i="16"/>
  <c r="G45" i="16"/>
  <c r="O64" i="14"/>
  <c r="J47" i="15"/>
  <c r="S63" i="14"/>
  <c r="D48" i="16" l="1"/>
  <c r="B49" i="16"/>
  <c r="D53" i="15"/>
  <c r="E52" i="15"/>
  <c r="C52" i="15"/>
  <c r="F67" i="14"/>
  <c r="L67" i="14"/>
  <c r="G67" i="14"/>
  <c r="H67" i="14"/>
  <c r="I67" i="14"/>
  <c r="J67" i="14"/>
  <c r="K67" i="14"/>
  <c r="G51" i="15"/>
  <c r="F51" i="15"/>
  <c r="Q66" i="14"/>
  <c r="H50" i="15" s="1"/>
  <c r="C49" i="16" s="1"/>
  <c r="M66" i="14"/>
  <c r="K45" i="15"/>
  <c r="K46" i="15" s="1"/>
  <c r="K47" i="15" s="1"/>
  <c r="B16" i="5"/>
  <c r="F44" i="16"/>
  <c r="G44" i="16"/>
  <c r="P64" i="14"/>
  <c r="R64" i="14" s="1"/>
  <c r="I48" i="15" s="1"/>
  <c r="F46" i="16"/>
  <c r="G46" i="16"/>
  <c r="O65" i="14"/>
  <c r="E5" i="20" l="1"/>
  <c r="E53" i="15"/>
  <c r="C53" i="15"/>
  <c r="D54" i="15"/>
  <c r="G68" i="14"/>
  <c r="H68" i="14"/>
  <c r="I68" i="14"/>
  <c r="J68" i="14"/>
  <c r="K68" i="14"/>
  <c r="G52" i="15"/>
  <c r="F52" i="15"/>
  <c r="F68" i="14"/>
  <c r="L68" i="14"/>
  <c r="Q67" i="14"/>
  <c r="H51" i="15" s="1"/>
  <c r="C50" i="16" s="1"/>
  <c r="M67" i="14"/>
  <c r="B50" i="16"/>
  <c r="P65" i="14"/>
  <c r="R65" i="14" s="1"/>
  <c r="I49" i="15" s="1"/>
  <c r="D49" i="16"/>
  <c r="O66" i="14"/>
  <c r="S64" i="14"/>
  <c r="J48" i="15"/>
  <c r="E47" i="16"/>
  <c r="D50" i="16" l="1"/>
  <c r="S65" i="14"/>
  <c r="K69" i="14"/>
  <c r="F13" i="30" s="1"/>
  <c r="H69" i="14"/>
  <c r="F10" i="30" s="1"/>
  <c r="I69" i="14"/>
  <c r="F11" i="30" s="1"/>
  <c r="G69" i="14"/>
  <c r="F9" i="30" s="1"/>
  <c r="J69" i="14"/>
  <c r="F12" i="30" s="1"/>
  <c r="E8" i="19"/>
  <c r="F53" i="15"/>
  <c r="G53" i="15"/>
  <c r="E6" i="20"/>
  <c r="E7" i="20"/>
  <c r="F69" i="14"/>
  <c r="L69" i="14"/>
  <c r="E54" i="15"/>
  <c r="C54" i="15"/>
  <c r="D55" i="15"/>
  <c r="B51" i="16"/>
  <c r="Q68" i="14"/>
  <c r="H52" i="15" s="1"/>
  <c r="C51" i="16" s="1"/>
  <c r="M68" i="14"/>
  <c r="J49" i="15"/>
  <c r="E48" i="16"/>
  <c r="P66" i="14"/>
  <c r="R66" i="14" s="1"/>
  <c r="I50" i="15" s="1"/>
  <c r="K48" i="15"/>
  <c r="F47" i="16"/>
  <c r="G47" i="16"/>
  <c r="O67" i="14"/>
  <c r="S66" i="14" l="1"/>
  <c r="K49" i="15"/>
  <c r="E5" i="19"/>
  <c r="E5" i="17"/>
  <c r="E5" i="18"/>
  <c r="B52" i="16"/>
  <c r="F5" i="6"/>
  <c r="F8" i="6" s="1"/>
  <c r="E6" i="6"/>
  <c r="E7" i="6" s="1"/>
  <c r="E9" i="6" s="1"/>
  <c r="F8" i="30"/>
  <c r="Q69" i="14"/>
  <c r="H53" i="15" s="1"/>
  <c r="M69" i="14"/>
  <c r="F15" i="30" s="1"/>
  <c r="F14" i="30"/>
  <c r="K70" i="14"/>
  <c r="H70" i="14"/>
  <c r="G70" i="14"/>
  <c r="I70" i="14"/>
  <c r="J70" i="14"/>
  <c r="F54" i="15"/>
  <c r="G54" i="15"/>
  <c r="F70" i="14"/>
  <c r="L70" i="14"/>
  <c r="E55" i="15"/>
  <c r="D56" i="15"/>
  <c r="C55" i="15"/>
  <c r="G48" i="16"/>
  <c r="F48" i="16"/>
  <c r="J50" i="15"/>
  <c r="E49" i="16"/>
  <c r="P67" i="14"/>
  <c r="R67" i="14" s="1"/>
  <c r="I51" i="15" s="1"/>
  <c r="D51" i="16"/>
  <c r="O68" i="14"/>
  <c r="D52" i="16" l="1"/>
  <c r="S67" i="14"/>
  <c r="E6" i="19"/>
  <c r="C52" i="16"/>
  <c r="E6" i="17"/>
  <c r="E7" i="17" s="1"/>
  <c r="E6" i="18"/>
  <c r="E7" i="18" s="1"/>
  <c r="B53" i="16"/>
  <c r="Q70" i="14"/>
  <c r="H54" i="15" s="1"/>
  <c r="M70" i="14"/>
  <c r="J71" i="14"/>
  <c r="H71" i="14"/>
  <c r="K71" i="14"/>
  <c r="I71" i="14"/>
  <c r="G71" i="14"/>
  <c r="G55" i="15"/>
  <c r="F55" i="15"/>
  <c r="D57" i="15"/>
  <c r="C56" i="15"/>
  <c r="E56" i="15"/>
  <c r="L71" i="14"/>
  <c r="F71" i="14"/>
  <c r="K50" i="15"/>
  <c r="F49" i="16"/>
  <c r="G49" i="16"/>
  <c r="J51" i="15"/>
  <c r="E50" i="16"/>
  <c r="P68" i="14"/>
  <c r="R68" i="14" s="1"/>
  <c r="I52" i="15" s="1"/>
  <c r="E51" i="16" s="1"/>
  <c r="O69" i="14"/>
  <c r="C53" i="16" l="1"/>
  <c r="B54" i="16"/>
  <c r="C57" i="15"/>
  <c r="D58" i="15"/>
  <c r="E57" i="15"/>
  <c r="F72" i="14"/>
  <c r="L72" i="14"/>
  <c r="H72" i="14"/>
  <c r="I72" i="14"/>
  <c r="G72" i="14"/>
  <c r="J72" i="14"/>
  <c r="K72" i="14"/>
  <c r="G56" i="15"/>
  <c r="F56" i="15"/>
  <c r="M71" i="14"/>
  <c r="Q71" i="14"/>
  <c r="H55" i="15" s="1"/>
  <c r="C54" i="16" s="1"/>
  <c r="G50" i="16"/>
  <c r="F50" i="16"/>
  <c r="P69" i="14"/>
  <c r="D53" i="16"/>
  <c r="O70" i="14"/>
  <c r="K51" i="15"/>
  <c r="K52" i="15" s="1"/>
  <c r="S68" i="14"/>
  <c r="J52" i="15"/>
  <c r="E7" i="19"/>
  <c r="O71" i="14" l="1"/>
  <c r="S69" i="14"/>
  <c r="F18" i="30" s="1"/>
  <c r="F73" i="14"/>
  <c r="L73" i="14"/>
  <c r="D59" i="15"/>
  <c r="C58" i="15"/>
  <c r="E58" i="15"/>
  <c r="G73" i="14"/>
  <c r="H73" i="14"/>
  <c r="I73" i="14"/>
  <c r="J73" i="14"/>
  <c r="K73" i="14"/>
  <c r="G57" i="15"/>
  <c r="F57" i="15"/>
  <c r="Q72" i="14"/>
  <c r="H56" i="15" s="1"/>
  <c r="C55" i="16" s="1"/>
  <c r="M72" i="14"/>
  <c r="B55" i="16"/>
  <c r="R69" i="14"/>
  <c r="F17" i="30"/>
  <c r="P70" i="14"/>
  <c r="R70" i="14" s="1"/>
  <c r="S70" i="14"/>
  <c r="G51" i="16"/>
  <c r="F51" i="16"/>
  <c r="D54" i="16"/>
  <c r="I54" i="15" l="1"/>
  <c r="P71" i="14"/>
  <c r="R71" i="14" s="1"/>
  <c r="I55" i="15" s="1"/>
  <c r="Q73" i="14"/>
  <c r="H57" i="15" s="1"/>
  <c r="C56" i="16" s="1"/>
  <c r="M73" i="14"/>
  <c r="E59" i="15"/>
  <c r="D60" i="15"/>
  <c r="C59" i="15"/>
  <c r="F74" i="14"/>
  <c r="L74" i="14"/>
  <c r="G74" i="14"/>
  <c r="H74" i="14"/>
  <c r="I74" i="14"/>
  <c r="J74" i="14"/>
  <c r="K74" i="14"/>
  <c r="G58" i="15"/>
  <c r="F58" i="15"/>
  <c r="B56" i="16"/>
  <c r="E5" i="31"/>
  <c r="I53" i="15"/>
  <c r="O72" i="14"/>
  <c r="D55" i="16"/>
  <c r="J55" i="15" l="1"/>
  <c r="E54" i="16"/>
  <c r="J54" i="15"/>
  <c r="E53" i="16"/>
  <c r="S71" i="14"/>
  <c r="G75" i="14"/>
  <c r="H75" i="14"/>
  <c r="I75" i="14"/>
  <c r="J75" i="14"/>
  <c r="K75" i="14"/>
  <c r="G59" i="15"/>
  <c r="F59" i="15"/>
  <c r="E60" i="15"/>
  <c r="D61" i="15"/>
  <c r="C60" i="15"/>
  <c r="F75" i="14"/>
  <c r="L75" i="14"/>
  <c r="Q74" i="14"/>
  <c r="H58" i="15" s="1"/>
  <c r="C57" i="16" s="1"/>
  <c r="M74" i="14"/>
  <c r="B57" i="16"/>
  <c r="J53" i="15"/>
  <c r="E8" i="17"/>
  <c r="E8" i="18"/>
  <c r="E9" i="18" s="1"/>
  <c r="E10" i="18" s="1"/>
  <c r="E6" i="31"/>
  <c r="E7" i="31" s="1"/>
  <c r="E52" i="16"/>
  <c r="P72" i="14"/>
  <c r="R72" i="14" s="1"/>
  <c r="O73" i="14"/>
  <c r="D56" i="16"/>
  <c r="F54" i="16" l="1"/>
  <c r="G54" i="16"/>
  <c r="O74" i="14"/>
  <c r="G53" i="16"/>
  <c r="F53" i="16"/>
  <c r="B58" i="16"/>
  <c r="G76" i="14"/>
  <c r="H76" i="14"/>
  <c r="I76" i="14"/>
  <c r="J76" i="14"/>
  <c r="K76" i="14"/>
  <c r="G60" i="15"/>
  <c r="F60" i="15"/>
  <c r="D62" i="15"/>
  <c r="C61" i="15"/>
  <c r="E61" i="15"/>
  <c r="F76" i="14"/>
  <c r="L76" i="14"/>
  <c r="Q75" i="14"/>
  <c r="H59" i="15" s="1"/>
  <c r="C58" i="16" s="1"/>
  <c r="M75" i="14"/>
  <c r="P74" i="14"/>
  <c r="R74" i="14" s="1"/>
  <c r="I58" i="15" s="1"/>
  <c r="E57" i="16" s="1"/>
  <c r="K53" i="15"/>
  <c r="E5" i="36"/>
  <c r="E5" i="33"/>
  <c r="E7" i="33" s="1"/>
  <c r="E5" i="34"/>
  <c r="E8" i="34" s="1"/>
  <c r="G52" i="16"/>
  <c r="E9" i="17"/>
  <c r="E10" i="17" s="1"/>
  <c r="F52" i="16"/>
  <c r="E6" i="36"/>
  <c r="E7" i="36" s="1"/>
  <c r="E8" i="36" s="1"/>
  <c r="P73" i="14"/>
  <c r="R73" i="14" s="1"/>
  <c r="I57" i="15" s="1"/>
  <c r="E56" i="16" s="1"/>
  <c r="I56" i="15"/>
  <c r="D57" i="16"/>
  <c r="S72" i="14"/>
  <c r="D58" i="16" l="1"/>
  <c r="B59" i="16"/>
  <c r="E62" i="15"/>
  <c r="D63" i="15"/>
  <c r="C62" i="15"/>
  <c r="F77" i="14"/>
  <c r="L77" i="14"/>
  <c r="G77" i="14"/>
  <c r="H77" i="14"/>
  <c r="I77" i="14"/>
  <c r="J77" i="14"/>
  <c r="K77" i="14"/>
  <c r="F61" i="15"/>
  <c r="G61" i="15"/>
  <c r="O76" i="14"/>
  <c r="Q76" i="14"/>
  <c r="H60" i="15" s="1"/>
  <c r="C59" i="16" s="1"/>
  <c r="M76" i="14"/>
  <c r="E11" i="17"/>
  <c r="E9" i="34"/>
  <c r="K54" i="15"/>
  <c r="K55" i="15" s="1"/>
  <c r="K56" i="15" s="1"/>
  <c r="K57" i="15" s="1"/>
  <c r="K58" i="15" s="1"/>
  <c r="E8" i="33"/>
  <c r="E55" i="16"/>
  <c r="J56" i="15"/>
  <c r="O75" i="14"/>
  <c r="S74" i="14"/>
  <c r="S73" i="14"/>
  <c r="J57" i="15"/>
  <c r="J58" i="15"/>
  <c r="G78" i="14" l="1"/>
  <c r="H78" i="14"/>
  <c r="I78" i="14"/>
  <c r="J78" i="14"/>
  <c r="K78" i="14"/>
  <c r="F62" i="15"/>
  <c r="G62" i="15"/>
  <c r="D64" i="15"/>
  <c r="C63" i="15"/>
  <c r="E63" i="15"/>
  <c r="F78" i="14"/>
  <c r="L78" i="14"/>
  <c r="Q77" i="14"/>
  <c r="H61" i="15" s="1"/>
  <c r="C60" i="16" s="1"/>
  <c r="M77" i="14"/>
  <c r="B60" i="16"/>
  <c r="P76" i="14"/>
  <c r="F55" i="16"/>
  <c r="G55" i="16"/>
  <c r="P75" i="14"/>
  <c r="R75" i="14" s="1"/>
  <c r="I59" i="15" s="1"/>
  <c r="G56" i="16"/>
  <c r="F56" i="16"/>
  <c r="F57" i="16"/>
  <c r="G57" i="16"/>
  <c r="D59" i="16"/>
  <c r="O77" i="14" l="1"/>
  <c r="S75" i="14"/>
  <c r="J59" i="15"/>
  <c r="R76" i="14"/>
  <c r="I60" i="15" s="1"/>
  <c r="E59" i="16" s="1"/>
  <c r="B61" i="16"/>
  <c r="D65" i="15"/>
  <c r="C64" i="15"/>
  <c r="E64" i="15"/>
  <c r="L79" i="14"/>
  <c r="F79" i="14"/>
  <c r="J79" i="14"/>
  <c r="H79" i="14"/>
  <c r="G79" i="14"/>
  <c r="K79" i="14"/>
  <c r="I79" i="14"/>
  <c r="F63" i="15"/>
  <c r="G63" i="15"/>
  <c r="O78" i="14"/>
  <c r="Q78" i="14"/>
  <c r="H62" i="15" s="1"/>
  <c r="C61" i="16" s="1"/>
  <c r="M78" i="14"/>
  <c r="P77" i="14"/>
  <c r="K59" i="15"/>
  <c r="D60" i="16"/>
  <c r="S76" i="14"/>
  <c r="E58" i="16"/>
  <c r="G58" i="16" l="1"/>
  <c r="F58" i="16"/>
  <c r="R77" i="14"/>
  <c r="I61" i="15" s="1"/>
  <c r="J60" i="15"/>
  <c r="D61" i="16"/>
  <c r="E65" i="15"/>
  <c r="D66" i="15"/>
  <c r="F5" i="20"/>
  <c r="C65" i="15"/>
  <c r="F80" i="14"/>
  <c r="L80" i="14"/>
  <c r="I80" i="14"/>
  <c r="K80" i="14"/>
  <c r="J80" i="14"/>
  <c r="H80" i="14"/>
  <c r="G80" i="14"/>
  <c r="F64" i="15"/>
  <c r="G64" i="15"/>
  <c r="M79" i="14"/>
  <c r="Q79" i="14"/>
  <c r="H63" i="15" s="1"/>
  <c r="C62" i="16" s="1"/>
  <c r="B62" i="16"/>
  <c r="P78" i="14"/>
  <c r="R78" i="14" s="1"/>
  <c r="I62" i="15" s="1"/>
  <c r="F59" i="16"/>
  <c r="G59" i="16"/>
  <c r="S77" i="14"/>
  <c r="K60" i="15"/>
  <c r="J61" i="15" l="1"/>
  <c r="E60" i="16"/>
  <c r="D62" i="16"/>
  <c r="G81" i="14"/>
  <c r="G9" i="30" s="1"/>
  <c r="I81" i="14"/>
  <c r="G11" i="30" s="1"/>
  <c r="K81" i="14"/>
  <c r="G13" i="30" s="1"/>
  <c r="H81" i="14"/>
  <c r="G10" i="30" s="1"/>
  <c r="J81" i="14"/>
  <c r="G12" i="30" s="1"/>
  <c r="F65" i="15"/>
  <c r="G65" i="15"/>
  <c r="F8" i="19"/>
  <c r="F6" i="20"/>
  <c r="E66" i="15"/>
  <c r="D67" i="15"/>
  <c r="C66" i="15"/>
  <c r="F7" i="20"/>
  <c r="F81" i="14"/>
  <c r="L81" i="14"/>
  <c r="Q80" i="14"/>
  <c r="H64" i="15" s="1"/>
  <c r="C63" i="16" s="1"/>
  <c r="M80" i="14"/>
  <c r="B63" i="16"/>
  <c r="J62" i="15"/>
  <c r="E61" i="16"/>
  <c r="O79" i="14"/>
  <c r="S78" i="14"/>
  <c r="F60" i="16" l="1"/>
  <c r="K61" i="15"/>
  <c r="G60" i="16"/>
  <c r="F5" i="18"/>
  <c r="F5" i="19"/>
  <c r="F5" i="17"/>
  <c r="B64" i="16"/>
  <c r="F6" i="6"/>
  <c r="F7" i="6" s="1"/>
  <c r="F9" i="6" s="1"/>
  <c r="G5" i="6"/>
  <c r="G8" i="6" s="1"/>
  <c r="H82" i="14"/>
  <c r="J82" i="14"/>
  <c r="G82" i="14"/>
  <c r="I82" i="14"/>
  <c r="K82" i="14"/>
  <c r="F66" i="15"/>
  <c r="G66" i="15"/>
  <c r="E67" i="15"/>
  <c r="D68" i="15"/>
  <c r="C67" i="15"/>
  <c r="F82" i="14"/>
  <c r="L82" i="14"/>
  <c r="G8" i="30"/>
  <c r="Q81" i="14"/>
  <c r="H65" i="15" s="1"/>
  <c r="M81" i="14"/>
  <c r="G15" i="30" s="1"/>
  <c r="G14" i="30"/>
  <c r="G61" i="16"/>
  <c r="F61" i="16"/>
  <c r="P79" i="14"/>
  <c r="R79" i="14" s="1"/>
  <c r="I63" i="15" s="1"/>
  <c r="O80" i="14"/>
  <c r="D63" i="16"/>
  <c r="K62" i="15" l="1"/>
  <c r="F6" i="19"/>
  <c r="B65" i="16"/>
  <c r="H83" i="14"/>
  <c r="J83" i="14"/>
  <c r="G83" i="14"/>
  <c r="K83" i="14"/>
  <c r="I83" i="14"/>
  <c r="F67" i="15"/>
  <c r="G67" i="15"/>
  <c r="E68" i="15"/>
  <c r="D69" i="15"/>
  <c r="C68" i="15"/>
  <c r="F83" i="14"/>
  <c r="L83" i="14"/>
  <c r="Q82" i="14"/>
  <c r="H66" i="15" s="1"/>
  <c r="M82" i="14"/>
  <c r="C64" i="16"/>
  <c r="F6" i="18"/>
  <c r="F7" i="18" s="1"/>
  <c r="F6" i="17"/>
  <c r="F7" i="17" s="1"/>
  <c r="E62" i="16"/>
  <c r="J63" i="15"/>
  <c r="P80" i="14"/>
  <c r="R80" i="14" s="1"/>
  <c r="I64" i="15" s="1"/>
  <c r="O81" i="14"/>
  <c r="S79" i="14"/>
  <c r="D64" i="16"/>
  <c r="D65" i="16" l="1"/>
  <c r="S80" i="14"/>
  <c r="B66" i="16"/>
  <c r="H84" i="14"/>
  <c r="G84" i="14"/>
  <c r="I84" i="14"/>
  <c r="J84" i="14"/>
  <c r="K84" i="14"/>
  <c r="F68" i="15"/>
  <c r="G68" i="15"/>
  <c r="E69" i="15"/>
  <c r="D70" i="15"/>
  <c r="C69" i="15"/>
  <c r="F84" i="14"/>
  <c r="L84" i="14"/>
  <c r="O83" i="14"/>
  <c r="Q83" i="14"/>
  <c r="H67" i="15" s="1"/>
  <c r="C66" i="16" s="1"/>
  <c r="M83" i="14"/>
  <c r="C65" i="16"/>
  <c r="K63" i="15"/>
  <c r="G62" i="16"/>
  <c r="F62" i="16"/>
  <c r="J64" i="15"/>
  <c r="E63" i="16"/>
  <c r="P81" i="14"/>
  <c r="S81" i="14"/>
  <c r="G18" i="30" s="1"/>
  <c r="O82" i="14"/>
  <c r="F7" i="19"/>
  <c r="B67" i="16" l="1"/>
  <c r="G85" i="14"/>
  <c r="H85" i="14"/>
  <c r="I85" i="14"/>
  <c r="J85" i="14"/>
  <c r="K85" i="14"/>
  <c r="F69" i="15"/>
  <c r="G69" i="15"/>
  <c r="E70" i="15"/>
  <c r="D71" i="15"/>
  <c r="C70" i="15"/>
  <c r="F85" i="14"/>
  <c r="L85" i="14"/>
  <c r="Q84" i="14"/>
  <c r="H68" i="15" s="1"/>
  <c r="C67" i="16" s="1"/>
  <c r="M84" i="14"/>
  <c r="P83" i="14"/>
  <c r="F63" i="16"/>
  <c r="G63" i="16"/>
  <c r="R81" i="14"/>
  <c r="G17" i="30"/>
  <c r="P82" i="14"/>
  <c r="R82" i="14" s="1"/>
  <c r="K64" i="15"/>
  <c r="D66" i="16"/>
  <c r="S83" i="14" l="1"/>
  <c r="R83" i="14"/>
  <c r="I67" i="15" s="1"/>
  <c r="E66" i="16" s="1"/>
  <c r="B68" i="16"/>
  <c r="G86" i="14"/>
  <c r="H86" i="14"/>
  <c r="I86" i="14"/>
  <c r="J86" i="14"/>
  <c r="K86" i="14"/>
  <c r="F70" i="15"/>
  <c r="G70" i="15"/>
  <c r="E71" i="15"/>
  <c r="D72" i="15"/>
  <c r="C71" i="15"/>
  <c r="F86" i="14"/>
  <c r="L86" i="14"/>
  <c r="Q85" i="14"/>
  <c r="H69" i="15" s="1"/>
  <c r="C68" i="16" s="1"/>
  <c r="M85" i="14"/>
  <c r="I65" i="15"/>
  <c r="F5" i="31"/>
  <c r="D67" i="16"/>
  <c r="I66" i="15"/>
  <c r="S82" i="14"/>
  <c r="O84" i="14"/>
  <c r="O85" i="14" l="1"/>
  <c r="J67" i="15"/>
  <c r="B69" i="16"/>
  <c r="F71" i="15"/>
  <c r="G71" i="15"/>
  <c r="H87" i="14"/>
  <c r="G87" i="14"/>
  <c r="I87" i="14"/>
  <c r="J87" i="14"/>
  <c r="K87" i="14"/>
  <c r="E72" i="15"/>
  <c r="D73" i="15"/>
  <c r="C72" i="15"/>
  <c r="F87" i="14"/>
  <c r="L87" i="14"/>
  <c r="Q86" i="14"/>
  <c r="H70" i="15" s="1"/>
  <c r="M86" i="14"/>
  <c r="P85" i="14"/>
  <c r="R85" i="14" s="1"/>
  <c r="I69" i="15" s="1"/>
  <c r="E68" i="16" s="1"/>
  <c r="J65" i="15"/>
  <c r="F6" i="31"/>
  <c r="F7" i="31" s="1"/>
  <c r="F8" i="17"/>
  <c r="F8" i="18"/>
  <c r="F9" i="18" s="1"/>
  <c r="F10" i="18" s="1"/>
  <c r="E64" i="16"/>
  <c r="E65" i="16"/>
  <c r="J66" i="15"/>
  <c r="P84" i="14"/>
  <c r="R84" i="14" s="1"/>
  <c r="D68" i="16"/>
  <c r="F66" i="16" l="1"/>
  <c r="G66" i="16"/>
  <c r="B70" i="16"/>
  <c r="G88" i="14"/>
  <c r="I88" i="14"/>
  <c r="H88" i="14"/>
  <c r="J88" i="14"/>
  <c r="K88" i="14"/>
  <c r="F72" i="15"/>
  <c r="G72" i="15"/>
  <c r="E73" i="15"/>
  <c r="D74" i="15"/>
  <c r="C73" i="15"/>
  <c r="F88" i="14"/>
  <c r="L88" i="14"/>
  <c r="Q87" i="14"/>
  <c r="H71" i="15" s="1"/>
  <c r="C70" i="16" s="1"/>
  <c r="M87" i="14"/>
  <c r="C69" i="16"/>
  <c r="K65" i="15"/>
  <c r="G64" i="16"/>
  <c r="F5" i="33"/>
  <c r="F7" i="33" s="1"/>
  <c r="F6" i="36"/>
  <c r="F7" i="36" s="1"/>
  <c r="F8" i="36" s="1"/>
  <c r="F64" i="16"/>
  <c r="F5" i="34"/>
  <c r="F8" i="34" s="1"/>
  <c r="F5" i="36"/>
  <c r="F9" i="17"/>
  <c r="F10" i="17" s="1"/>
  <c r="F65" i="16"/>
  <c r="G65" i="16"/>
  <c r="I68" i="15"/>
  <c r="D69" i="16"/>
  <c r="O86" i="14"/>
  <c r="S84" i="14"/>
  <c r="J69" i="15"/>
  <c r="S85" i="14"/>
  <c r="D70" i="16" l="1"/>
  <c r="B71" i="16"/>
  <c r="G89" i="14"/>
  <c r="I89" i="14"/>
  <c r="K89" i="14"/>
  <c r="H89" i="14"/>
  <c r="J89" i="14"/>
  <c r="F73" i="15"/>
  <c r="G73" i="15"/>
  <c r="E74" i="15"/>
  <c r="D75" i="15"/>
  <c r="C74" i="15"/>
  <c r="F89" i="14"/>
  <c r="L89" i="14"/>
  <c r="O88" i="14"/>
  <c r="Q88" i="14"/>
  <c r="H72" i="15" s="1"/>
  <c r="C71" i="16" s="1"/>
  <c r="M88" i="14"/>
  <c r="K66" i="15"/>
  <c r="K67" i="15" s="1"/>
  <c r="F9" i="34"/>
  <c r="F11" i="17"/>
  <c r="F8" i="33"/>
  <c r="J68" i="15"/>
  <c r="E67" i="16"/>
  <c r="P86" i="14"/>
  <c r="R86" i="14" s="1"/>
  <c r="F68" i="16"/>
  <c r="G68" i="16"/>
  <c r="O87" i="14"/>
  <c r="D71" i="16" l="1"/>
  <c r="B72" i="16"/>
  <c r="G90" i="14"/>
  <c r="I90" i="14"/>
  <c r="H90" i="14"/>
  <c r="J90" i="14"/>
  <c r="K90" i="14"/>
  <c r="F74" i="15"/>
  <c r="G74" i="15"/>
  <c r="E75" i="15"/>
  <c r="D76" i="15"/>
  <c r="C75" i="15"/>
  <c r="L90" i="14"/>
  <c r="F90" i="14"/>
  <c r="O89" i="14"/>
  <c r="Q89" i="14"/>
  <c r="H73" i="15" s="1"/>
  <c r="C72" i="16" s="1"/>
  <c r="M89" i="14"/>
  <c r="P88" i="14"/>
  <c r="R88" i="14" s="1"/>
  <c r="I72" i="15" s="1"/>
  <c r="F67" i="16"/>
  <c r="G67" i="16"/>
  <c r="I70" i="15"/>
  <c r="P87" i="14"/>
  <c r="R87" i="14" s="1"/>
  <c r="I71" i="15" s="1"/>
  <c r="S86" i="14"/>
  <c r="K68" i="15"/>
  <c r="K69" i="15" s="1"/>
  <c r="B73" i="16" l="1"/>
  <c r="H91" i="14"/>
  <c r="J91" i="14"/>
  <c r="G91" i="14"/>
  <c r="I91" i="14"/>
  <c r="K91" i="14"/>
  <c r="F75" i="15"/>
  <c r="G75" i="15"/>
  <c r="E76" i="15"/>
  <c r="D77" i="15"/>
  <c r="C76" i="15"/>
  <c r="F91" i="14"/>
  <c r="L91" i="14"/>
  <c r="M90" i="14"/>
  <c r="Q90" i="14"/>
  <c r="H74" i="15" s="1"/>
  <c r="C73" i="16" s="1"/>
  <c r="P89" i="14"/>
  <c r="J72" i="15"/>
  <c r="E71" i="16"/>
  <c r="J70" i="15"/>
  <c r="E69" i="16"/>
  <c r="S88" i="14"/>
  <c r="S87" i="14"/>
  <c r="J71" i="15"/>
  <c r="E70" i="16"/>
  <c r="D72" i="16"/>
  <c r="B74" i="16" l="1"/>
  <c r="H92" i="14"/>
  <c r="J92" i="14"/>
  <c r="G92" i="14"/>
  <c r="I92" i="14"/>
  <c r="K92" i="14"/>
  <c r="F76" i="15"/>
  <c r="G76" i="15"/>
  <c r="E77" i="15"/>
  <c r="G5" i="20"/>
  <c r="B11" i="4"/>
  <c r="C77" i="15"/>
  <c r="F92" i="14"/>
  <c r="L92" i="14"/>
  <c r="O91" i="14"/>
  <c r="Q91" i="14"/>
  <c r="H75" i="15" s="1"/>
  <c r="C74" i="16" s="1"/>
  <c r="M91" i="14"/>
  <c r="G71" i="16"/>
  <c r="F71" i="16"/>
  <c r="K70" i="15"/>
  <c r="K71" i="15" s="1"/>
  <c r="K72" i="15" s="1"/>
  <c r="F69" i="16"/>
  <c r="G69" i="16"/>
  <c r="F70" i="16"/>
  <c r="G70" i="16"/>
  <c r="O90" i="14"/>
  <c r="S89" i="14"/>
  <c r="R89" i="14"/>
  <c r="I73" i="15" s="1"/>
  <c r="D73" i="16"/>
  <c r="D74" i="16" l="1"/>
  <c r="B75" i="16"/>
  <c r="G93" i="14"/>
  <c r="H9" i="30" s="1"/>
  <c r="I93" i="14"/>
  <c r="K93" i="14"/>
  <c r="H13" i="30" s="1"/>
  <c r="H93" i="14"/>
  <c r="H10" i="30" s="1"/>
  <c r="J93" i="14"/>
  <c r="H12" i="30" s="1"/>
  <c r="F77" i="15"/>
  <c r="G77" i="15"/>
  <c r="B7" i="28"/>
  <c r="B9" i="38"/>
  <c r="G6" i="20"/>
  <c r="B6" i="28"/>
  <c r="B9" i="28"/>
  <c r="B8" i="3"/>
  <c r="G8" i="19"/>
  <c r="B7" i="23"/>
  <c r="B10" i="4"/>
  <c r="B8" i="23"/>
  <c r="B8" i="28"/>
  <c r="G7" i="20"/>
  <c r="L93" i="14"/>
  <c r="F93" i="14"/>
  <c r="Q92" i="14"/>
  <c r="H76" i="15" s="1"/>
  <c r="C75" i="16" s="1"/>
  <c r="M92" i="14"/>
  <c r="P91" i="14"/>
  <c r="P90" i="14"/>
  <c r="R90" i="14" s="1"/>
  <c r="I74" i="15" s="1"/>
  <c r="S90" i="14"/>
  <c r="J73" i="15"/>
  <c r="E72" i="16"/>
  <c r="O92" i="14" l="1"/>
  <c r="H11" i="30"/>
  <c r="B9" i="23"/>
  <c r="G5" i="18"/>
  <c r="G5" i="19"/>
  <c r="G5" i="17"/>
  <c r="B5" i="35"/>
  <c r="B76" i="16"/>
  <c r="B6" i="35"/>
  <c r="B11" i="38"/>
  <c r="B12" i="38"/>
  <c r="B15" i="38"/>
  <c r="B6" i="39"/>
  <c r="B12" i="39"/>
  <c r="B6" i="40"/>
  <c r="C6" i="40"/>
  <c r="D6" i="40"/>
  <c r="E6" i="40"/>
  <c r="B7" i="40"/>
  <c r="C7" i="40"/>
  <c r="D7" i="40"/>
  <c r="E7" i="40"/>
  <c r="B8" i="40"/>
  <c r="C8" i="40"/>
  <c r="D8" i="40"/>
  <c r="E8" i="40"/>
  <c r="B9" i="40"/>
  <c r="C9" i="40"/>
  <c r="D9" i="40"/>
  <c r="E9" i="40"/>
  <c r="B6" i="41"/>
  <c r="B7" i="41"/>
  <c r="B6" i="44"/>
  <c r="B7" i="44"/>
  <c r="C11" i="2"/>
  <c r="B4" i="3"/>
  <c r="B9" i="4"/>
  <c r="B6" i="5"/>
  <c r="B5" i="5"/>
  <c r="B12" i="5"/>
  <c r="G6" i="6"/>
  <c r="G7" i="6" s="1"/>
  <c r="G9" i="6" s="1"/>
  <c r="M93" i="14"/>
  <c r="H15" i="30" s="1"/>
  <c r="H14" i="30"/>
  <c r="Q93" i="14"/>
  <c r="H8" i="30"/>
  <c r="J74" i="15"/>
  <c r="E73" i="16"/>
  <c r="K73" i="15"/>
  <c r="K74" i="15" s="1"/>
  <c r="F72" i="16"/>
  <c r="G72" i="16"/>
  <c r="B10" i="23"/>
  <c r="S91" i="14"/>
  <c r="R91" i="14"/>
  <c r="I75" i="15" s="1"/>
  <c r="D75" i="16"/>
  <c r="P92" i="14" l="1"/>
  <c r="R92" i="14" s="1"/>
  <c r="I76" i="15" s="1"/>
  <c r="O93" i="14"/>
  <c r="G6" i="19"/>
  <c r="B13" i="38"/>
  <c r="B8" i="39"/>
  <c r="C13" i="2"/>
  <c r="P93" i="14"/>
  <c r="H77" i="15"/>
  <c r="B16" i="26"/>
  <c r="F73" i="16"/>
  <c r="G73" i="16"/>
  <c r="E74" i="16"/>
  <c r="J75" i="15"/>
  <c r="J76" i="15" l="1"/>
  <c r="E75" i="16"/>
  <c r="G7" i="19"/>
  <c r="S92" i="14"/>
  <c r="B14" i="38"/>
  <c r="B9" i="39"/>
  <c r="B5" i="2"/>
  <c r="C14" i="2"/>
  <c r="B11" i="1"/>
  <c r="B17" i="4"/>
  <c r="R93" i="14"/>
  <c r="H17" i="30"/>
  <c r="B7" i="5"/>
  <c r="B14" i="5"/>
  <c r="D76" i="16"/>
  <c r="B6" i="29"/>
  <c r="B14" i="26"/>
  <c r="B7" i="24"/>
  <c r="B5" i="29"/>
  <c r="B15" i="26"/>
  <c r="B5" i="24"/>
  <c r="C76" i="16"/>
  <c r="B6" i="24"/>
  <c r="G6" i="17"/>
  <c r="G7" i="17" s="1"/>
  <c r="G6" i="18"/>
  <c r="G7" i="18" s="1"/>
  <c r="K75" i="15"/>
  <c r="K76" i="15" s="1"/>
  <c r="G74" i="16"/>
  <c r="F74" i="16"/>
  <c r="S93" i="14"/>
  <c r="F75" i="16" l="1"/>
  <c r="G75" i="16"/>
  <c r="B16" i="38"/>
  <c r="B10" i="39"/>
  <c r="C5" i="2"/>
  <c r="C11" i="1"/>
  <c r="B5" i="3"/>
  <c r="B18" i="4"/>
  <c r="I77" i="15"/>
  <c r="G5" i="31"/>
  <c r="B7" i="32"/>
  <c r="H18" i="30"/>
  <c r="B14" i="4"/>
  <c r="B21" i="38"/>
  <c r="B6" i="32"/>
  <c r="B11" i="39" l="1"/>
  <c r="D5" i="2"/>
  <c r="D11" i="1"/>
  <c r="B6" i="3"/>
  <c r="B19" i="4"/>
  <c r="B15" i="5"/>
  <c r="J77" i="15"/>
  <c r="G8" i="18"/>
  <c r="G9" i="18" s="1"/>
  <c r="G10" i="18" s="1"/>
  <c r="B13" i="5"/>
  <c r="G6" i="31"/>
  <c r="G7" i="31" s="1"/>
  <c r="G8" i="17"/>
  <c r="E76" i="16"/>
  <c r="G76" i="16" l="1"/>
  <c r="G5" i="36"/>
  <c r="G5" i="33"/>
  <c r="G7" i="33" s="1"/>
  <c r="G5" i="34"/>
  <c r="G8" i="34" s="1"/>
  <c r="G9" i="17"/>
  <c r="G10" i="17" s="1"/>
  <c r="G6" i="36"/>
  <c r="G7" i="36" s="1"/>
  <c r="G8" i="36" s="1"/>
  <c r="B19" i="38"/>
  <c r="F76" i="16"/>
  <c r="K77" i="15"/>
  <c r="B9" i="5" l="1"/>
  <c r="B20" i="38"/>
  <c r="C15" i="2"/>
  <c r="C16" i="2"/>
  <c r="B7" i="3"/>
  <c r="B12" i="4"/>
  <c r="B13" i="4"/>
  <c r="B8" i="5"/>
  <c r="G9" i="34"/>
  <c r="G11" i="17"/>
  <c r="B10" i="43"/>
  <c r="B9" i="43"/>
  <c r="B5" i="43"/>
  <c r="G8" i="33"/>
  <c r="B11" i="3"/>
  <c r="A4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600-000001000000}">
      <text>
        <r>
          <rPr>
            <sz val="11"/>
            <color theme="1"/>
            <rFont val="Calibri"/>
            <family val="2"/>
            <scheme val="minor"/>
          </rPr>
          <t>Months of build before first paying practice.
Source: golden Assumptions-Main; engine timeline.build_months</t>
        </r>
      </text>
    </comment>
    <comment ref="B6" authorId="0" shapeId="0" xr:uid="{00000000-0006-0000-0600-000002000000}">
      <text>
        <r>
          <rPr>
            <sz val="11"/>
            <color theme="1"/>
            <rFont val="Calibri"/>
            <family val="2"/>
            <scheme val="minor"/>
          </rPr>
          <t>HELD AT 2.5 to keep the published growth calibration (1,106 providers / 442 practices @ mo72). Industry is ~4–5 providers/practice; raising this here multiplies providers (and the whole headline) ~1.8x — re-tune the practice-growth curve before adopting 4.5. (Jeff 2026-06-26: keep 2.5 with the enc/day-28 + 67/33 blend move.)
Source: Jeff 2026-06-26 — keep 2.5 (deck calibration); industry ~4–5 needs growth-curve re-tune</t>
        </r>
      </text>
    </comment>
    <comment ref="B7" authorId="0" shapeId="0" xr:uid="{00000000-0006-0000-0600-000003000000}">
      <text>
        <r>
          <rPr>
            <sz val="11"/>
            <color theme="1"/>
            <rFont val="Calibri"/>
            <family val="2"/>
            <scheme val="minor"/>
          </rPr>
          <t>First-year discount/ramp applied to price and FTE ratios.
Source: golden Assumptions-Main (yr1_discount 0.5 in engine — RECONCILE)</t>
        </r>
      </text>
    </comment>
    <comment ref="B8" authorId="0" shapeId="0" xr:uid="{00000000-0006-0000-0600-000004000000}">
      <text>
        <r>
          <rPr>
            <sz val="11"/>
            <color theme="1"/>
            <rFont val="Calibri"/>
            <family val="2"/>
            <scheme val="minor"/>
          </rPr>
          <t>First pilot practice(s) at the end of the dev period.
Source: Jeff — testing-then-explode curve</t>
        </r>
      </text>
    </comment>
    <comment ref="B9" authorId="0" shapeId="0" xr:uid="{00000000-0006-0000-0600-000005000000}">
      <text>
        <r>
          <rPr>
            <sz val="11"/>
            <color theme="1"/>
            <rFont val="Calibri"/>
            <family val="2"/>
            <scheme val="minor"/>
          </rPr>
          <t>~6 months of testing after go-live: only a few pilot practices added per month, then providers explode.
Source: Jeff 2026-06-26 — testing period = 6 months</t>
        </r>
      </text>
    </comment>
    <comment ref="B10" authorId="0" shapeId="0" xr:uid="{00000000-0006-0000-0600-000006000000}">
      <text>
        <r>
          <rPr>
            <sz val="11"/>
            <color theme="1"/>
            <rFont val="Calibri"/>
            <family val="2"/>
            <scheme val="minor"/>
          </rPr>
          <t>Deliberately slow while we prove it out.
Source: Jeff — testing-then-explode curve</t>
        </r>
      </text>
    </comment>
    <comment ref="B11" authorId="0" shapeId="0" xr:uid="{00000000-0006-0000-0600-000007000000}">
      <text>
        <r>
          <rPr>
            <sz val="11"/>
            <color theme="1"/>
            <rFont val="Calibri"/>
            <family val="2"/>
            <scheme val="minor"/>
          </rPr>
          <t>Annual practice growth once testing is done — the hockey-stick. ~+139%/yr → ~1,106 providers / ~$62M ARR by mo72 (defensible). NOTE: cash dips to ~-$337K at m37 (pre-breakeven); holding a $500K floor needs a STRUCTURAL lever (lean/shorten dev+testing, modest cash, or a lower floor) — growth tuning alone can't (see Change Log).
Source: Jeff — testing-then-explode curve</t>
        </r>
      </text>
    </comment>
    <comment ref="B12" authorId="0" shapeId="0" xr:uid="{00000000-0006-0000-0600-000008000000}">
      <text>
        <r>
          <rPr>
            <sz val="11"/>
            <color theme="1"/>
            <rFont val="Calibri"/>
            <family val="2"/>
            <scheme val="minor"/>
          </rPr>
          <t>Annual logo churn on the practice base.
Source: engine churn.churn_annual</t>
        </r>
      </text>
    </comment>
    <comment ref="B13" authorId="0" shapeId="0" xr:uid="{00000000-0006-0000-0600-000009000000}">
      <text>
        <r>
          <rPr>
            <sz val="11"/>
            <color theme="1"/>
            <rFont val="Calibri"/>
            <family val="2"/>
            <scheme val="minor"/>
          </rPr>
          <t>The model auto-throttles the explosion whenever last month's cash is under this floor — so cash never goes below it. Raise/lower the safety cushion here.
Source: Jeff 2026-06-26 — cash can't go negative</t>
        </r>
      </text>
    </comment>
    <comment ref="B14" authorId="0" shapeId="0" xr:uid="{00000000-0006-0000-0600-00000A000000}">
      <text>
        <r>
          <rPr>
            <sz val="11"/>
            <color theme="1"/>
            <rFont val="Calibri"/>
            <family val="2"/>
            <scheme val="minor"/>
          </rPr>
          <t>The softened growth rate applied while cash is below the floor (vs the full explode rate above). Soft-launch the gas, full speed once solvent.
Source: Jeff 2026-06-26 — soften the explosion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700-000001000000}">
      <text>
        <r>
          <rPr>
            <sz val="11"/>
            <color theme="1"/>
            <rFont val="Calibri"/>
            <family val="2"/>
            <scheme val="minor"/>
          </rPr>
          <t>Headline list price per physician seat. BASE CASE = 100% MD/DO.
Source: golden Assumptions-Main; engine saas_md_do</t>
        </r>
      </text>
    </comment>
    <comment ref="B6" authorId="0" shapeId="0" xr:uid="{00000000-0006-0000-0700-000002000000}">
      <text>
        <r>
          <rPr>
            <sz val="11"/>
            <color theme="1"/>
            <rFont val="Calibri"/>
            <family val="2"/>
            <scheme val="minor"/>
          </rPr>
          <t>APP list price. Used in the MD-APP blend SENSITIVITY, not the base.
Source: Jeff 2026-06-26 pricing decision; engine saas_pa_np</t>
        </r>
      </text>
    </comment>
    <comment ref="B7" authorId="0" shapeId="0" xr:uid="{00000000-0006-0000-0700-000003000000}">
      <text>
        <r>
          <rPr>
            <sz val="11"/>
            <color theme="1"/>
            <rFont val="Calibri"/>
            <family val="2"/>
            <scheme val="minor"/>
          </rPr>
          <t>Base = 67% MD/DO @ $595 + 33% NP/PA @ $395 → blended ~$529/provider/mo. Industry: ~65–70% physicians, 30–35% NP/PA.
Source: Jeff 2026-06-26 — 67% MD / 33% APP base</t>
        </r>
      </text>
    </comment>
    <comment ref="B8" authorId="0" shapeId="0" xr:uid="{00000000-0006-0000-0700-000004000000}">
      <text>
        <r>
          <rPr>
            <sz val="11"/>
            <color theme="1"/>
            <rFont val="Calibri"/>
            <family val="2"/>
            <scheme val="minor"/>
          </rPr>
          <t>Revenue-cycle fee as a share of collected dollars.
Source: golden Assumptions-Main; engine rcm_pct</t>
        </r>
      </text>
    </comment>
    <comment ref="B9" authorId="0" shapeId="0" xr:uid="{00000000-0006-0000-0700-000005000000}">
      <text>
        <r>
          <rPr>
            <sz val="11"/>
            <color theme="1"/>
            <rFont val="Calibri"/>
            <family val="2"/>
            <scheme val="minor"/>
          </rPr>
          <t>Fraction of practices that take RCM.
Source: golden Assumptions-Main; engine rcm_attach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800-000001000000}">
      <text>
        <r>
          <rPr>
            <sz val="11"/>
            <color theme="1"/>
            <rFont val="Calibri"/>
            <family val="2"/>
            <scheme val="minor"/>
          </rPr>
          <t>Visits per provider per clinical day when a practice starts on REV.
Source: Jeff 2026-06-26 — efficiency ramp</t>
        </r>
      </text>
    </comment>
    <comment ref="B6" authorId="0" shapeId="0" xr:uid="{00000000-0006-0000-0800-000002000000}">
      <text>
        <r>
          <rPr>
            <sz val="11"/>
            <color theme="1"/>
            <rFont val="Calibri"/>
            <family val="2"/>
            <scheme val="minor"/>
          </rPr>
          <t>Steady-state encounters per day once REV's AI tooling has lifted efficiency. Ramps 20 → 28.
Source: Jeff 2026-06-26 — efficiency ramp 20 to 28</t>
        </r>
      </text>
    </comment>
    <comment ref="B7" authorId="0" shapeId="0" xr:uid="{00000000-0006-0000-0800-000003000000}">
      <text>
        <r>
          <rPr>
            <sz val="11"/>
            <color theme="1"/>
            <rFont val="Calibri"/>
            <family val="2"/>
            <scheme val="minor"/>
          </rPr>
          <t>Years for encounters per day to ramp linearly from start to at-scale, then hold.
Source: Jeff 2026-06-26 — ramp over 3 years</t>
        </r>
      </text>
    </comment>
    <comment ref="B8" authorId="0" shapeId="0" xr:uid="{00000000-0006-0000-0800-000004000000}">
      <text>
        <r>
          <rPr>
            <sz val="11"/>
            <color theme="1"/>
            <rFont val="Calibri"/>
            <family val="2"/>
            <scheme val="minor"/>
          </rPr>
          <t>Working clinical days per provider per year.
Source: golden Assumptions-Main</t>
        </r>
      </text>
    </comment>
    <comment ref="B9" authorId="0" shapeId="0" xr:uid="{00000000-0006-0000-0800-000005000000}">
      <text>
        <r>
          <rPr>
            <sz val="11"/>
            <color theme="1"/>
            <rFont val="Calibri"/>
            <family val="2"/>
            <scheme val="minor"/>
          </rPr>
          <t>Avg collections per visit. 22 x 255 x 150 = $841,500 collected/provider/yr (baseline_coll).
Source: golden Assumptions-Main; engine baseline_coll</t>
        </r>
      </text>
    </comment>
    <comment ref="B10" authorId="0" shapeId="0" xr:uid="{00000000-0006-0000-0800-000006000000}">
      <text>
        <r>
          <rPr>
            <sz val="11"/>
            <color theme="1"/>
            <rFont val="Calibri"/>
            <family val="2"/>
            <scheme val="minor"/>
          </rPr>
          <t>AI capture lift on collections (1 + edge x capture).
Source: golden Assumptions-Details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900-000001000000}">
      <text>
        <r>
          <rPr>
            <sz val="11"/>
            <color theme="1"/>
            <rFont val="Calibri"/>
            <family val="2"/>
            <scheme val="minor"/>
          </rPr>
          <t>Base/upside exit on run-rate revenue.
Source: golden Assumptions-Main; engine</t>
        </r>
      </text>
    </comment>
    <comment ref="B6" authorId="0" shapeId="0" xr:uid="{00000000-0006-0000-0900-000002000000}">
      <text>
        <r>
          <rPr>
            <sz val="11"/>
            <color theme="1"/>
            <rFont val="Calibri"/>
            <family val="2"/>
            <scheme val="minor"/>
          </rPr>
          <t>Conservative downside floor multiple.
Source: REV exit-multiple page</t>
        </r>
      </text>
    </comment>
    <comment ref="B7" authorId="0" shapeId="0" xr:uid="{00000000-0006-0000-0900-000003000000}">
      <text>
        <r>
          <rPr>
            <sz val="11"/>
            <color theme="1"/>
            <rFont val="Calibri"/>
            <family val="2"/>
            <scheme val="minor"/>
          </rPr>
          <t>Headline $4M seed.
Source: golden Assumptions-Main</t>
        </r>
      </text>
    </comment>
    <comment ref="B8" authorId="0" shapeId="0" xr:uid="{00000000-0006-0000-0900-000004000000}">
      <text>
        <r>
          <rPr>
            <sz val="11"/>
            <color theme="1"/>
            <rFont val="Calibri"/>
            <family val="2"/>
            <scheme val="minor"/>
          </rPr>
          <t>Founders' cash on day 1 before the seed wires.
Source: golden Assumptions-Main</t>
        </r>
      </text>
    </comment>
    <comment ref="B9" authorId="0" shapeId="0" xr:uid="{00000000-0006-0000-0900-000005000000}">
      <text>
        <r>
          <rPr>
            <sz val="11"/>
            <color theme="1"/>
            <rFont val="Calibri"/>
            <family val="2"/>
            <scheme val="minor"/>
          </rPr>
          <t>$16M pre + $4M = $20M post -&gt; 20% seed ownership.
Source: REV returns</t>
        </r>
      </text>
    </comment>
    <comment ref="B10" authorId="0" shapeId="0" xr:uid="{00000000-0006-0000-0900-000006000000}">
      <text>
        <r>
          <rPr>
            <sz val="11"/>
            <color theme="1"/>
            <rFont val="Calibri"/>
            <family val="2"/>
            <scheme val="minor"/>
          </rPr>
          <t>DERIVED — = seed_raise / (pre_money + seed_raise). No Series A/B dilution in the base case.
Source: REV returns</t>
        </r>
      </text>
    </comment>
    <comment ref="B11" authorId="0" shapeId="0" xr:uid="{00000000-0006-0000-0900-000007000000}">
      <text>
        <r>
          <rPr>
            <sz val="11"/>
            <color theme="1"/>
            <rFont val="Calibri"/>
            <family val="2"/>
            <scheme val="minor"/>
          </rPr>
          <t>1.0 = no Series A/B dilution (base). Realistic scenario models dilution: seed ~20% -&gt; ~8% = 0.40.
Source: Jeff 2026-06-26 — scenario lever</t>
        </r>
      </text>
    </comment>
    <comment ref="B12" authorId="0" shapeId="0" xr:uid="{00000000-0006-0000-0900-000008000000}">
      <text>
        <r>
          <rPr>
            <sz val="11"/>
            <color theme="1"/>
            <rFont val="Calibri"/>
            <family val="2"/>
            <scheme val="minor"/>
          </rPr>
          <t>Additional capital injected mid-build (the raise that causes the dilution). $0 in self-funded scenarios.
Source: Jeff 2026-06-26 — scenario lever</t>
        </r>
      </text>
    </comment>
    <comment ref="B13" authorId="0" shapeId="0" xr:uid="{00000000-0006-0000-0900-000009000000}">
      <text>
        <r>
          <rPr>
            <sz val="11"/>
            <color theme="1"/>
            <rFont val="Calibri"/>
            <family val="2"/>
            <scheme val="minor"/>
          </rPr>
          <t>Month the follow-on capital lands.
Source: Jeff 2026-06-26 — scenario lever</t>
        </r>
      </text>
    </comment>
    <comment ref="B14" authorId="0" shapeId="0" xr:uid="{00000000-0006-0000-0900-00000A000000}">
      <text>
        <r>
          <rPr>
            <sz val="11"/>
            <color theme="1"/>
            <rFont val="Calibri"/>
            <family val="2"/>
            <scheme val="minor"/>
          </rPr>
          <t>DERIVED — = exit month / 12 (off the 72-month build).
Source: golden</t>
        </r>
      </text>
    </comment>
    <comment ref="B15" authorId="0" shapeId="0" xr:uid="{00000000-0006-0000-0900-00000B000000}">
      <text>
        <r>
          <rPr>
            <sz val="11"/>
            <color theme="1"/>
            <rFont val="Calibri"/>
            <family val="2"/>
            <scheme val="minor"/>
          </rPr>
          <t>Average collection lag; drives A/R / working capital.
Source: engine working_capital.dso_days</t>
        </r>
      </text>
    </comment>
    <comment ref="B16" authorId="0" shapeId="0" xr:uid="{00000000-0006-0000-0900-00000C000000}">
      <text>
        <r>
          <rPr>
            <sz val="11"/>
            <color theme="1"/>
            <rFont val="Calibri"/>
            <family val="2"/>
            <scheme val="minor"/>
          </rPr>
          <t>Applied to taxable income after NOL carryforward.
Source: US federal corporate rate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A00-000001000000}">
      <text>
        <r>
          <rPr>
            <sz val="11"/>
            <color theme="1"/>
            <rFont val="Calibri"/>
            <family val="2"/>
            <scheme val="minor"/>
          </rPr>
          <t>Dev tooling &amp; CI, cloud baseline (non-COGS), security/SSO, productivity, analytics, support desk.
Source: Jeff 2026-06-26 — remote-first opex</t>
        </r>
      </text>
    </comment>
    <comment ref="B6" authorId="0" shapeId="0" xr:uid="{00000000-0006-0000-0A00-000002000000}">
      <text>
        <r>
          <rPr>
            <sz val="11"/>
            <color theme="1"/>
            <rFont val="Calibri"/>
            <family val="2"/>
            <scheme val="minor"/>
          </rPr>
          <t>Corporate counsel, contracts/MSAs/BAAs, IP, bookkeeping, fractional CFO, tax prep.
Source: Jeff 2026-06-26 — remote-first opex</t>
        </r>
      </text>
    </comment>
    <comment ref="B7" authorId="0" shapeId="0" xr:uid="{00000000-0006-0000-0A00-000003000000}">
      <text>
        <r>
          <rPr>
            <sz val="11"/>
            <color theme="1"/>
            <rFont val="Calibri"/>
            <family val="2"/>
            <scheme val="minor"/>
          </rPr>
          <t>D&amp;O, E&amp;O / professional liability, cyber, general liability. STARTS at $0 and ramps to this over the years below — coverage is minimal pre-revenue and scales with the clinical-data footprint.
Source: Jeff 2026-06-26 — insurance ramps from $0</t>
        </r>
      </text>
    </comment>
    <comment ref="B8" authorId="0" shapeId="0" xr:uid="{00000000-0006-0000-0A00-000004000000}">
      <text>
        <r>
          <rPr>
            <sz val="11"/>
            <color theme="1"/>
            <rFont val="Calibri"/>
            <family val="2"/>
            <scheme val="minor"/>
          </rPr>
          <t>Years to ramp insurance from $0 to the at-scale figure above (linear).
Source: Jeff 2026-06-26 — insurance ramps from $0</t>
        </r>
      </text>
    </comment>
    <comment ref="B9" authorId="0" shapeId="0" xr:uid="{00000000-0006-0000-0A00-000005000000}">
      <text>
        <r>
          <rPr>
            <sz val="11"/>
            <color theme="1"/>
            <rFont val="Calibri"/>
            <family val="2"/>
            <scheme val="minor"/>
          </rPr>
          <t>HIPAA program, SOC 2 / HITRUST prep &amp; audit, ONC/HTI cert fees, pen-tests, TEFCA/Surescripts.
Source: Jeff 2026-06-26 — remote-first opex</t>
        </r>
      </text>
    </comment>
    <comment ref="B10" authorId="0" shapeId="0" xr:uid="{00000000-0006-0000-0A00-000006000000}">
      <text>
        <r>
          <rPr>
            <sz val="11"/>
            <color theme="1"/>
            <rFont val="Calibri"/>
            <family val="2"/>
            <scheme val="minor"/>
          </rPr>
          <t>Payroll/PEO admin, banking &amp; FX fees, recruiting, HRIS, benefits admin.
Source: Jeff 2026-06-26 — remote-first opex</t>
        </r>
      </text>
    </comment>
    <comment ref="B11" authorId="0" shapeId="0" xr:uid="{00000000-0006-0000-0A00-000007000000}">
      <text>
        <r>
          <rPr>
            <sz val="11"/>
            <color theme="1"/>
            <rFont val="Calibri"/>
            <family val="2"/>
            <scheme val="minor"/>
          </rPr>
          <t>Customer-acquisition cost per provider. Base scenarios assume a captive channel ($0); Realistic scenario models ~$5k/provider.
Source: Jeff 2026-06-26 — scenario lever</t>
        </r>
      </text>
    </comment>
    <comment ref="B12" authorId="0" shapeId="0" xr:uid="{00000000-0006-0000-0A00-000008000000}">
      <text>
        <r>
          <rPr>
            <sz val="11"/>
            <color theme="1"/>
            <rFont val="Calibri"/>
            <family val="2"/>
            <scheme val="minor"/>
          </rPr>
          <t>$0 — REMOTE-FIRST, no office for the first 18+ months. Add a line here only when a clinic-ops HQ is actually needed.
Source: Jeff 2026-06-26 — no rent for 18 months</t>
        </r>
      </text>
    </comment>
    <comment ref="B13" authorId="0" shapeId="0" xr:uid="{00000000-0006-0000-0A00-000009000000}">
      <text>
        <r>
          <rPr>
            <sz val="11"/>
            <color theme="1"/>
            <rFont val="Calibri"/>
            <family val="2"/>
            <scheme val="minor"/>
          </rPr>
          <t>+46.7% per operating year on the non-insurance base (x1.467/yr).
Source: golden Assumptions-Main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B00-000001000000}">
      <text>
        <r>
          <rPr>
            <sz val="11"/>
            <color theme="1"/>
            <rFont val="Calibri"/>
            <family val="2"/>
            <scheme val="minor"/>
          </rPr>
          <t>EDI transaction cost per claim.
Source: golden Assumptions-Details</t>
        </r>
      </text>
    </comment>
    <comment ref="B6" authorId="0" shapeId="0" xr:uid="{00000000-0006-0000-0B00-000002000000}">
      <text>
        <r>
          <rPr>
            <sz val="11"/>
            <color theme="1"/>
            <rFont val="Calibri"/>
            <family val="2"/>
            <scheme val="minor"/>
          </rPr>
          <t>Claim volume per visit.
Source: golden Assumptions-Details</t>
        </r>
      </text>
    </comment>
    <comment ref="B7" authorId="0" shapeId="0" xr:uid="{00000000-0006-0000-0B00-000003000000}">
      <text>
        <r>
          <rPr>
            <sz val="11"/>
            <color theme="1"/>
            <rFont val="Calibri"/>
            <family val="2"/>
            <scheme val="minor"/>
          </rPr>
          <t>e-prescribing transaction cost.
Source: golden Assumptions-Details</t>
        </r>
      </text>
    </comment>
    <comment ref="B8" authorId="0" shapeId="0" xr:uid="{00000000-0006-0000-0B00-000004000000}">
      <text>
        <r>
          <rPr>
            <sz val="11"/>
            <color theme="1"/>
            <rFont val="Calibri"/>
            <family val="2"/>
            <scheme val="minor"/>
          </rPr>
          <t>$0 to REV — NOT absorbed: card-processing fees are passed through to the practice at their own merchant/credit-card rates (not forgotten, just not REV's cost). Set &gt;0 only if REV ever eats interchange.
Source: Jeff 2026-06-26 — pass-through to physicians at their CC rates</t>
        </r>
      </text>
    </comment>
    <comment ref="B9" authorId="0" shapeId="0" xr:uid="{00000000-0006-0000-0B00-000005000000}">
      <text>
        <r>
          <rPr>
            <sz val="11"/>
            <color theme="1"/>
            <rFont val="Calibri"/>
            <family val="2"/>
            <scheme val="minor"/>
          </rPr>
          <t>Per-provider annual licensing.
Source: golden Assumptions-Details</t>
        </r>
      </text>
    </comment>
    <comment ref="B10" authorId="0" shapeId="0" xr:uid="{00000000-0006-0000-0B00-000006000000}">
      <text>
        <r>
          <rPr>
            <sz val="11"/>
            <color theme="1"/>
            <rFont val="Calibri"/>
            <family val="2"/>
            <scheme val="minor"/>
          </rPr>
          <t>Company-wide flat platform cost.
Source: golden Assumptions-Details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C00-000001000000}">
      <text>
        <r>
          <rPr>
            <sz val="11"/>
            <color theme="1"/>
            <rFont val="Calibri"/>
            <family val="2"/>
            <scheme val="minor"/>
          </rPr>
          <t>Pushes every non-engineering hire this many months later to protect the cash floor — growth is exogenous, so this trims burn without slowing revenue.
Source: Jeff 2026-06-26 — keep min cash &gt;= $400K</t>
        </r>
      </text>
    </comment>
    <comment ref="B6" authorId="0" shapeId="0" xr:uid="{00000000-0006-0000-0C00-000002000000}">
      <text>
        <r>
          <rPr>
            <sz val="11"/>
            <color theme="1"/>
            <rFont val="Calibri"/>
            <family val="2"/>
            <scheme val="minor"/>
          </rPr>
          <t>Multiplier on base salaries.
Source: golden Assumptions-Details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1A00-000001000000}">
      <text>
        <r>
          <rPr>
            <sz val="11"/>
            <color theme="1"/>
            <rFont val="Calibri"/>
            <family val="2"/>
            <scheme val="minor"/>
          </rPr>
          <t>~20 min of ambient audio captured per visit.
Source: Jeff 2026-06-26</t>
        </r>
      </text>
    </comment>
    <comment ref="B6" authorId="0" shapeId="0" xr:uid="{00000000-0006-0000-1A00-000002000000}">
      <text>
        <r>
          <rPr>
            <sz val="11"/>
            <color theme="1"/>
            <rFont val="Calibri"/>
            <family val="2"/>
            <scheme val="minor"/>
          </rPr>
          <t>90% transcribed on-device ($0 cloud); only 10% of audio hits the cloud.
Source: Jeff 2026-06-26</t>
        </r>
      </text>
    </comment>
    <comment ref="B7" authorId="0" shapeId="0" xr:uid="{00000000-0006-0000-1A00-000003000000}">
      <text>
        <r>
          <rPr>
            <sz val="11"/>
            <color theme="1"/>
            <rFont val="Calibri"/>
            <family val="2"/>
            <scheme val="minor"/>
          </rPr>
          <t>ESTIMATE — Azure speech-to-text ~$1/audio-hour for the 10% cloud slice. Confirm.
Source: estimate — confirm</t>
        </r>
      </text>
    </comment>
    <comment ref="B8" authorId="0" shapeId="0" xr:uid="{00000000-0006-0000-1A00-000004000000}">
      <text>
        <r>
          <rPr>
            <sz val="11"/>
            <color theme="1"/>
            <rFont val="Calibri"/>
            <family val="2"/>
            <scheme val="minor"/>
          </rPr>
          <t>ESTIMATE — transcript -&gt; structured note summarization. Confirm.
Source: estimate — confirm</t>
        </r>
      </text>
    </comment>
    <comment ref="B9" authorId="0" shapeId="0" xr:uid="{00000000-0006-0000-1A00-000005000000}">
      <text>
        <r>
          <rPr>
            <sz val="11"/>
            <color theme="1"/>
            <rFont val="Calibri"/>
            <family val="2"/>
            <scheme val="minor"/>
          </rPr>
          <t>ESTIMATE — cheap summarization model. Confirm.
Source: estimate — confirm</t>
        </r>
      </text>
    </comment>
    <comment ref="B10" authorId="0" shapeId="0" xr:uid="{00000000-0006-0000-1A00-000006000000}">
      <text>
        <r>
          <rPr>
            <sz val="11"/>
            <color theme="1"/>
            <rFont val="Calibri"/>
            <family val="2"/>
            <scheme val="minor"/>
          </rPr>
          <t>ESTIMATE — function calls across the visit workflow. Confirm.
Source: estimate — confirm</t>
        </r>
      </text>
    </comment>
    <comment ref="B11" authorId="0" shapeId="0" xr:uid="{00000000-0006-0000-1A00-000007000000}">
      <text>
        <r>
          <rPr>
            <sz val="11"/>
            <color theme="1"/>
            <rFont val="Calibri"/>
            <family val="2"/>
            <scheme val="minor"/>
          </rPr>
          <t>$1 per 1,000,000 serverless function calls.
Source: Jeff 2026-06-26</t>
        </r>
      </text>
    </comment>
    <comment ref="B12" authorId="0" shapeId="0" xr:uid="{00000000-0006-0000-1A00-000008000000}">
      <text>
        <r>
          <rPr>
            <sz val="11"/>
            <color theme="1"/>
            <rFont val="Calibri"/>
            <family val="2"/>
            <scheme val="minor"/>
          </rPr>
          <t>ESTIMATE — Opus ~16 kbps speech ~0.12 MB/min (~2.4 MB/encounter). Confirm.
Source: estimate — confirm</t>
        </r>
      </text>
    </comment>
    <comment ref="B13" authorId="0" shapeId="0" xr:uid="{00000000-0006-0000-1A00-000009000000}">
      <text>
        <r>
          <rPr>
            <sz val="11"/>
            <color theme="1"/>
            <rFont val="Calibri"/>
            <family val="2"/>
            <scheme val="minor"/>
          </rPr>
          <t>Object storage for archived audio.
Source: Jeff 2026-06-26</t>
        </r>
      </text>
    </comment>
    <comment ref="B14" authorId="0" shapeId="0" xr:uid="{00000000-0006-0000-1A00-00000A000000}">
      <text>
        <r>
          <rPr>
            <sz val="11"/>
            <color theme="1"/>
            <rFont val="Calibri"/>
            <family val="2"/>
            <scheme val="minor"/>
          </rPr>
          <t>ESTIMATE — structured note + discrete data per encounter. Confirm.
Source: estimate — confirm</t>
        </r>
      </text>
    </comment>
    <comment ref="B15" authorId="0" shapeId="0" xr:uid="{00000000-0006-0000-1A00-00000B000000}">
      <text>
        <r>
          <rPr>
            <sz val="11"/>
            <color theme="1"/>
            <rFont val="Calibri"/>
            <family val="2"/>
            <scheme val="minor"/>
          </rPr>
          <t>Database storage for structured data.
Source: Jeff 2026-06-26</t>
        </r>
      </text>
    </comment>
    <comment ref="B16" authorId="0" shapeId="0" xr:uid="{00000000-0006-0000-1A00-00000C000000}">
      <text>
        <r>
          <rPr>
            <sz val="11"/>
            <color theme="1"/>
            <rFont val="Calibri"/>
            <family val="2"/>
            <scheme val="minor"/>
          </rPr>
          <t>Audio retained 7 years (base retention).
Source: Jeff 2026-06-26</t>
        </r>
      </text>
    </comment>
    <comment ref="B17" authorId="0" shapeId="0" xr:uid="{00000000-0006-0000-1A00-00000D000000}">
      <text>
        <r>
          <rPr>
            <sz val="11"/>
            <color theme="1"/>
            <rFont val="Calibri"/>
            <family val="2"/>
            <scheme val="minor"/>
          </rPr>
          <t>Optional additional 7 years -&gt; 14 total.
Source: Jeff 2026-06-26</t>
        </r>
      </text>
    </comment>
  </commentList>
</comments>
</file>

<file path=xl/sharedStrings.xml><?xml version="1.0" encoding="utf-8"?>
<sst xmlns="http://schemas.openxmlformats.org/spreadsheetml/2006/main" count="1098" uniqueCount="747">
  <si>
    <t>REV.health — Investor Return</t>
  </si>
  <si>
    <t>All figures live-linked to the inputs.  ·  Scenario: IDEAL — full AI lift · 28 enc/day · 10x exit</t>
  </si>
  <si>
    <t>INVESTOR PROCEEDS AT EXIT</t>
  </si>
  <si>
    <t>GROSS MOIC</t>
  </si>
  <si>
    <t>IRR</t>
  </si>
  <si>
    <t>net of the $4M seed in</t>
  </si>
  <si>
    <t>x your money, held to exit</t>
  </si>
  <si>
    <t>effective annual, ~5.8 yr hold</t>
  </si>
  <si>
    <t>The math</t>
  </si>
  <si>
    <t>Seed invested</t>
  </si>
  <si>
    <t>Ownership (held to exit)</t>
  </si>
  <si>
    <t>Exit ARR (run-rate)</t>
  </si>
  <si>
    <t>Exit multiple</t>
  </si>
  <si>
    <t>Exit enterprise value</t>
  </si>
  <si>
    <t>Investor proceeds</t>
  </si>
  <si>
    <t>Run-rate EBITDA</t>
  </si>
  <si>
    <t>EBITDA margin</t>
  </si>
  <si>
    <t>Every value above is a live formula tracing to a single blue input cell. Change an input → this recalculates.</t>
  </si>
  <si>
    <t>R</t>
  </si>
  <si>
    <t>REV.health</t>
  </si>
  <si>
    <t>AI-native EMR + RCM platform for private practices — PCP-first, specialties to follow</t>
  </si>
  <si>
    <t>$4M Seed  ·  Investor Model  ·  IDEAL</t>
  </si>
  <si>
    <t>Confidential · v2026-06-26  ·  single source of truth: model-inputs.json</t>
  </si>
  <si>
    <t>INVESTOR PROCEEDS</t>
  </si>
  <si>
    <t>net at exit</t>
  </si>
  <si>
    <t>on the seed</t>
  </si>
  <si>
    <t>~5.8 yr hold</t>
  </si>
  <si>
    <t>How to read this model</t>
  </si>
  <si>
    <t>595</t>
  </si>
  <si>
    <t>Yellow = an input you can change.</t>
  </si>
  <si>
    <t>4,028</t>
  </si>
  <si>
    <t>Blue = calculated (a formula) — updates automatically.</t>
  </si>
  <si>
    <t>Color-coded tabs:  teal = summary · amber = inputs · green = calcs · purple = returns · slate = reference.</t>
  </si>
  <si>
    <t>Every number traces to one yellow input — edit inputs only, never the blue formulas.</t>
  </si>
  <si>
    <t>REV.health — confidential investor materials</t>
  </si>
  <si>
    <t>Snapshot</t>
  </si>
  <si>
    <t>The headline at a glance — all live-linked.</t>
  </si>
  <si>
    <t>Gross MOIC (base 10x)</t>
  </si>
  <si>
    <t>IRR (base)</t>
  </si>
  <si>
    <t>Providers at exit</t>
  </si>
  <si>
    <t>Blended MRR / provider / mo</t>
  </si>
  <si>
    <t>Seed / ownership</t>
  </si>
  <si>
    <t>Cash solvency (vs $500K floor)</t>
  </si>
  <si>
    <t>Exec Summary</t>
  </si>
  <si>
    <t>The whole model in one screen — every figure live.</t>
  </si>
  <si>
    <t>■ input (edit)</t>
  </si>
  <si>
    <t>■ calculated (formula)</t>
  </si>
  <si>
    <t>Positioning</t>
  </si>
  <si>
    <t>Platform</t>
  </si>
  <si>
    <t>Private-practice EMR + RCM — PCP-first, specialties to follow (never PCP-only).</t>
  </si>
  <si>
    <t>RCM cost-to-serve</t>
  </si>
  <si>
    <t>The ~1% RCM cost is an AT-SCALE figure — higher at first; expanding beyond PCP into specialties drives it lower.</t>
  </si>
  <si>
    <t>Company at exit</t>
  </si>
  <si>
    <t>month-72 x 12</t>
  </si>
  <si>
    <t>Practices at exit</t>
  </si>
  <si>
    <t>bottom-up</t>
  </si>
  <si>
    <t>Total FTE at exit</t>
  </si>
  <si>
    <t>Return to the seed</t>
  </si>
  <si>
    <t>Investor proceeds (10x base)</t>
  </si>
  <si>
    <t>Gross MOIC</t>
  </si>
  <si>
    <t>SaaS KPI Dashboard</t>
  </si>
  <si>
    <t>Investor SaaS metrics — live. NRR is base (100%); expansion is upside.</t>
  </si>
  <si>
    <t>Scale &amp; growth</t>
  </si>
  <si>
    <t>ARR YoY growth (final year)</t>
  </si>
  <si>
    <t>vs month-60 ARR</t>
  </si>
  <si>
    <t>Gross margin</t>
  </si>
  <si>
    <t>Rule of 40</t>
  </si>
  <si>
    <t>growth% + EBITDA%</t>
  </si>
  <si>
    <t>Efficiency</t>
  </si>
  <si>
    <t>ARR / practice</t>
  </si>
  <si>
    <t>Blended CAC / practice</t>
  </si>
  <si>
    <t>final-yr corp opex / new practices (conservative, all-in)</t>
  </si>
  <si>
    <t>LTV / practice</t>
  </si>
  <si>
    <t>ARR/practice x GM / churn</t>
  </si>
  <si>
    <t>LTV : CAC</t>
  </si>
  <si>
    <t>Months to EBITDA-positive</t>
  </si>
  <si>
    <t>first positive-EBITDA month</t>
  </si>
  <si>
    <t>Net revenue retention (base)</t>
  </si>
  <si>
    <t>100% base — expansion is upside (see Retention Upside)</t>
  </si>
  <si>
    <t>ARR Bridge</t>
  </si>
  <si>
    <t>Beginning + gross-new − churn = ending ARR, by year. Live off run-rate ARR.</t>
  </si>
  <si>
    <t>FY1</t>
  </si>
  <si>
    <t>FY2</t>
  </si>
  <si>
    <t>FY3</t>
  </si>
  <si>
    <t>FY4</t>
  </si>
  <si>
    <t>FY5</t>
  </si>
  <si>
    <t>FY6</t>
  </si>
  <si>
    <t>Beginning ARR</t>
  </si>
  <si>
    <t>Ending ARR (run-rate)</t>
  </si>
  <si>
    <t>Net new ARR</t>
  </si>
  <si>
    <t>(−) Churned ARR</t>
  </si>
  <si>
    <t>Gross new ARR</t>
  </si>
  <si>
    <t>Growth &amp; timing</t>
  </si>
  <si>
    <t>Blue cells are inputs — edit here; the whole model recalculates.</t>
  </si>
  <si>
    <t>Input</t>
  </si>
  <si>
    <t>Value</t>
  </si>
  <si>
    <t>Unit</t>
  </si>
  <si>
    <t>Note</t>
  </si>
  <si>
    <t>Dev period (go-live month)</t>
  </si>
  <si>
    <t>months</t>
  </si>
  <si>
    <t>Months of build before first paying practice.</t>
  </si>
  <si>
    <t>Providers / practice</t>
  </si>
  <si>
    <t>providers</t>
  </si>
  <si>
    <t>HELD AT 2.5 to keep the published growth calibration (1,106 providers / 442 practices @ mo72). Industry is ~4–5 providers/practice; raising this here multiplies providers (and the whole headline) ~1.8x — re-tune the practice-growth curve before adopting 4.5. (Jeff 2026-06-26: keep 2.5 with the enc/day-28 + 67/33 blend move.)</t>
  </si>
  <si>
    <t>Year-1 ramp (price + FTE efficiency)</t>
  </si>
  <si>
    <t>factor</t>
  </si>
  <si>
    <t>First-year discount/ramp applied to price and FTE ratios.</t>
  </si>
  <si>
    <t>Practices live at go-live</t>
  </si>
  <si>
    <t>practices</t>
  </si>
  <si>
    <t>First pilot practice(s) at the end of the dev period.</t>
  </si>
  <si>
    <t>Testing period (slow growth)</t>
  </si>
  <si>
    <t>~6 months of testing after go-live: only a few pilot practices added per month, then providers explode.</t>
  </si>
  <si>
    <t>New practices / mo during testing</t>
  </si>
  <si>
    <t>practices/mo</t>
  </si>
  <si>
    <t>Deliberately slow while we prove it out.</t>
  </si>
  <si>
    <t>Growth rate after testing (the explode)</t>
  </si>
  <si>
    <t>factor/yr</t>
  </si>
  <si>
    <t>Annual practice growth once testing is done — the hockey-stick. ~+139%/yr → ~1,106 providers / ~$62M ARR by mo72 (defensible). NOTE: cash dips to ~-$337K at m37 (pre-breakeven); holding a $500K floor needs a STRUCTURAL lever (lean/shorten dev+testing, modest cash, or a lower floor) — growth tuning alone can't (see Change Log).</t>
  </si>
  <si>
    <t>Practice churn / yr</t>
  </si>
  <si>
    <t>ratio/yr</t>
  </si>
  <si>
    <t>Annual logo churn on the practice base.</t>
  </si>
  <si>
    <t>Cash floor (solvency guard)</t>
  </si>
  <si>
    <t>$</t>
  </si>
  <si>
    <t>The model auto-throttles the explosion whenever last month's cash is under this floor — so cash never goes below it. Raise/lower the safety cushion here.</t>
  </si>
  <si>
    <t>Throttled growth when cash is tight</t>
  </si>
  <si>
    <t>The softened growth rate applied while cash is below the floor (vs the full explode rate above). Soft-launch the gas, full speed once solvent.</t>
  </si>
  <si>
    <t>Pricing</t>
  </si>
  <si>
    <t>EMR/SaaS price — MD/DO</t>
  </si>
  <si>
    <t>$/provider/mo</t>
  </si>
  <si>
    <t>Headline list price per physician seat. BASE CASE = 100% MD/DO.</t>
  </si>
  <si>
    <t>EMR/SaaS price — PA/NP (APP)</t>
  </si>
  <si>
    <t>APP list price. Used in the MD-APP blend SENSITIVITY, not the base.</t>
  </si>
  <si>
    <t>MD/DO mix (base)</t>
  </si>
  <si>
    <t>ratio</t>
  </si>
  <si>
    <t>Base = 67% MD/DO @ $595 + 33% NP/PA @ $395 → blended ~$529/provider/mo. Industry: ~65–70% physicians, 30–35% NP/PA.</t>
  </si>
  <si>
    <t>RCM % of collections</t>
  </si>
  <si>
    <t>Revenue-cycle fee as a share of collected dollars.</t>
  </si>
  <si>
    <t>RCM attach (share on RCM)</t>
  </si>
  <si>
    <t>Fraction of practices that take RCM.</t>
  </si>
  <si>
    <t>Throughput → collections</t>
  </si>
  <si>
    <t>Encounters / clinical day — at go-live</t>
  </si>
  <si>
    <t>encounters/day</t>
  </si>
  <si>
    <t>Visits per provider per clinical day when a practice starts on REV.</t>
  </si>
  <si>
    <t>Encounters / clinical day — at scale</t>
  </si>
  <si>
    <t>Steady-state encounters per day once REV's AI tooling has lifted efficiency. Ramps 20 → 28.</t>
  </si>
  <si>
    <t>Efficiency ramp — 20 to 28 enc/day (years)</t>
  </si>
  <si>
    <t>years</t>
  </si>
  <si>
    <t>Years for encounters per day to ramp linearly from start to at-scale, then hold.</t>
  </si>
  <si>
    <t>Clinical days / yr</t>
  </si>
  <si>
    <t>days/yr</t>
  </si>
  <si>
    <t>Working clinical days per provider per year.</t>
  </si>
  <si>
    <t>Collected $ / encounter</t>
  </si>
  <si>
    <t>$/encounter</t>
  </si>
  <si>
    <t>Avg collections per visit. 22 x 255 x 150 = $841,500 collected/provider/yr (baseline_coll).</t>
  </si>
  <si>
    <t>Collections efficiency edge</t>
  </si>
  <si>
    <t>AI capture lift on collections (1 + edge x capture).</t>
  </si>
  <si>
    <t>Financing &amp; returns</t>
  </si>
  <si>
    <t>Exit revenue multiple (base case)</t>
  </si>
  <si>
    <t>x ARR</t>
  </si>
  <si>
    <t>Base/upside exit on run-rate revenue.</t>
  </si>
  <si>
    <t>Exit revenue multiple (downside floor)</t>
  </si>
  <si>
    <t>Conservative downside floor multiple.</t>
  </si>
  <si>
    <t>Seed raise</t>
  </si>
  <si>
    <t>Headline $4M seed.</t>
  </si>
  <si>
    <t>Opening cash (pre-seed)</t>
  </si>
  <si>
    <t>Founders' cash on day 1 before the seed wires.</t>
  </si>
  <si>
    <t>Pre-money valuation</t>
  </si>
  <si>
    <t>$16M pre + $4M = $20M post -&gt; 20% seed ownership.</t>
  </si>
  <si>
    <t>Seed ownership (held to exit)</t>
  </si>
  <si>
    <t>DERIVED — = seed_raise / (pre_money + seed_raise). No Series A/B dilution in the base case.</t>
  </si>
  <si>
    <t>Dilution retention (seed % kept to exit)</t>
  </si>
  <si>
    <t>1.0 = no Series A/B dilution (base). Realistic scenario models dilution: seed ~20% -&gt; ~8% = 0.40.</t>
  </si>
  <si>
    <t>Follow-on raise (Series A)</t>
  </si>
  <si>
    <t>Additional capital injected mid-build (the raise that causes the dilution). $0 in self-funded scenarios.</t>
  </si>
  <si>
    <t>Follow-on raise — month</t>
  </si>
  <si>
    <t>month</t>
  </si>
  <si>
    <t>Month the follow-on capital lands.</t>
  </si>
  <si>
    <t>Hold to exit</t>
  </si>
  <si>
    <t>DERIVED — = exit month / 12 (off the 72-month build).</t>
  </si>
  <si>
    <t>DSO (days sales outstanding)</t>
  </si>
  <si>
    <t>days</t>
  </si>
  <si>
    <t>Average collection lag; drives A/R / working capital.</t>
  </si>
  <si>
    <t>Effective tax rate</t>
  </si>
  <si>
    <t>Applied to taxable income after NOL carryforward.</t>
  </si>
  <si>
    <t>Operating costs (fixed)</t>
  </si>
  <si>
    <t>Software &amp; tools / mo</t>
  </si>
  <si>
    <t>$/mo</t>
  </si>
  <si>
    <t>Dev tooling &amp; CI, cloud baseline (non-COGS), security/SSO, productivity, analytics, support desk.</t>
  </si>
  <si>
    <t>Legal &amp; accounting / mo</t>
  </si>
  <si>
    <t>Corporate counsel, contracts/MSAs/BAAs, IP, bookkeeping, fractional CFO, tax prep.</t>
  </si>
  <si>
    <t>Insurance / mo — at scale</t>
  </si>
  <si>
    <t>D&amp;O, E&amp;O / professional liability, cyber, general liability. STARTS at $0 and ramps to this over the years below — coverage is minimal pre-revenue and scales with the clinical-data footprint.</t>
  </si>
  <si>
    <t>Insurance ramp (yrs to full)</t>
  </si>
  <si>
    <t>Years to ramp insurance from $0 to the at-scale figure above (linear).</t>
  </si>
  <si>
    <t>Compliance &amp; certifications / mo</t>
  </si>
  <si>
    <t>HIPAA program, SOC 2 / HITRUST prep &amp; audit, ONC/HTI cert fees, pen-tests, TEFCA/Surescripts.</t>
  </si>
  <si>
    <t>Banking, payroll &amp; HR / mo</t>
  </si>
  <si>
    <t>Payroll/PEO admin, banking &amp; FX fees, recruiting, HRIS, benefits admin.</t>
  </si>
  <si>
    <t>CAC / provider onboarded</t>
  </si>
  <si>
    <t>$/provider</t>
  </si>
  <si>
    <t>Customer-acquisition cost per provider. Base scenarios assume a captive channel ($0); Realistic scenario models ~$5k/provider.</t>
  </si>
  <si>
    <t>Rent / mo</t>
  </si>
  <si>
    <t>$0 — REMOTE-FIRST, no office for the first 18+ months. Add a line here only when a clinic-ops HQ is actually needed.</t>
  </si>
  <si>
    <t>Fixed opex growth / yr</t>
  </si>
  <si>
    <t>+46.7% per operating year on the non-insurance base (x1.467/yr).</t>
  </si>
  <si>
    <t>Total fixed opex / mo  (sum above — NO rent, remote-first 18+ mo)</t>
  </si>
  <si>
    <t>Cost-to-serve (per encounter/claim)</t>
  </si>
  <si>
    <t>Clearinghouse / claim (837+270/271+835)</t>
  </si>
  <si>
    <t>$/claim</t>
  </si>
  <si>
    <t>EDI transaction cost per claim.</t>
  </si>
  <si>
    <t>Claims / encounter</t>
  </si>
  <si>
    <t>claims/encounter</t>
  </si>
  <si>
    <t>Claim volume per visit.</t>
  </si>
  <si>
    <t>eRx (Surescripts) / encounter</t>
  </si>
  <si>
    <t>e-prescribing transaction cost.</t>
  </si>
  <si>
    <t>Payment processing (% of collections)</t>
  </si>
  <si>
    <t>$0 to REV — NOT absorbed: card-processing fees are passed through to the practice at their own merchant/credit-card rates (not forgotten, just not REV's cost). Set &gt;0 only if REV ever eats interchange.</t>
  </si>
  <si>
    <t>Licensing + Surescripts / physician / yr</t>
  </si>
  <si>
    <t>$/provider/yr</t>
  </si>
  <si>
    <t>Per-provider annual licensing.</t>
  </si>
  <si>
    <t>Platform flat / yr (TEFCA + interfaces)</t>
  </si>
  <si>
    <t>$/yr</t>
  </si>
  <si>
    <t>Company-wide flat platform cost.</t>
  </si>
  <si>
    <t>Staffing</t>
  </si>
  <si>
    <t>Hire deferral (non-eng)</t>
  </si>
  <si>
    <t>Pushes every non-engineering hire this many months later to protect the cash floor — growth is exogenous, so this trims burn without slowing revenue.</t>
  </si>
  <si>
    <t>Fully-loaded factor (benefits/overhead)</t>
  </si>
  <si>
    <t>Multiplier on base salaries.</t>
  </si>
  <si>
    <t>AI deflation factor (AI-assisted RCM role) by op year</t>
  </si>
  <si>
    <t>1.34, 1.21, 1.06, 1.0, 0.94</t>
  </si>
  <si>
    <t>factor[]</t>
  </si>
  <si>
    <t>Multiplies AI-assisted RCM headcount by operating year 1..5.</t>
  </si>
  <si>
    <t>Staffing &amp; FTE — bottom-up roster</t>
  </si>
  <si>
    <t>Headcount = a business driver ÷ a ratio, gated by start month, capped, rounded up to whole people. 'AI-defl?' = Yes means that role (RCM-Mid) shrinks as AI automates the work — its headcount is cut by the AI-deflation factors shown top-right. Serve + corp labor feed the Proforma EBITDA.</t>
  </si>
  <si>
    <t>AI deflation by op-yr (rcm_mid) →</t>
  </si>
  <si>
    <t>Role</t>
  </si>
  <si>
    <t>Group</t>
  </si>
  <si>
    <t>Driver</t>
  </si>
  <si>
    <t>Salary</t>
  </si>
  <si>
    <t>Ratio/Base</t>
  </si>
  <si>
    <t>Adds/yr</t>
  </si>
  <si>
    <t>Start</t>
  </si>
  <si>
    <t>Cap</t>
  </si>
  <si>
    <t>AI-defl?</t>
  </si>
  <si>
    <t>Eng · Sr/Staff</t>
  </si>
  <si>
    <t>corp</t>
  </si>
  <si>
    <t>fixed</t>
  </si>
  <si>
    <t>Eng · Mid</t>
  </si>
  <si>
    <t>Eng · Jr</t>
  </si>
  <si>
    <t>Implementation · Mid</t>
  </si>
  <si>
    <t>serve</t>
  </si>
  <si>
    <t>practiceAdds</t>
  </si>
  <si>
    <t>Support · Sr (CSM)</t>
  </si>
  <si>
    <t>physicians</t>
  </si>
  <si>
    <t>Support · Jr</t>
  </si>
  <si>
    <t>RCM ops · Sr lead</t>
  </si>
  <si>
    <t>RCM ops · Mid (AI-assisted)</t>
  </si>
  <si>
    <t>Clinical · Mid</t>
  </si>
  <si>
    <t>Sales · AE (Sr)</t>
  </si>
  <si>
    <t>Sales · SDR (Jr)</t>
  </si>
  <si>
    <t>aeRatio</t>
  </si>
  <si>
    <t>G&amp;A · Exec</t>
  </si>
  <si>
    <t>G&amp;A · Ops/Finance</t>
  </si>
  <si>
    <t>totalFte</t>
  </si>
  <si>
    <t>Month</t>
  </si>
  <si>
    <t>t</t>
  </si>
  <si>
    <t>Eng</t>
  </si>
  <si>
    <t>Implementation</t>
  </si>
  <si>
    <t>Support</t>
  </si>
  <si>
    <t>RCM ops</t>
  </si>
  <si>
    <t>Clinical</t>
  </si>
  <si>
    <t>Sales</t>
  </si>
  <si>
    <t>G&amp;A</t>
  </si>
  <si>
    <t>preGa</t>
  </si>
  <si>
    <t>G&amp;A ops</t>
  </si>
  <si>
    <t>Serve $/mo</t>
  </si>
  <si>
    <t>Corp $/mo</t>
  </si>
  <si>
    <t>Tot FTE</t>
  </si>
  <si>
    <t>Proforma — 72-month build</t>
  </si>
  <si>
    <t>Slow testing period, then the explode; encounters per day ramp 20 to 28 lifts per-provider revenue. All live formulas off the inputs + the staffing engine.</t>
  </si>
  <si>
    <t>At-scale (exit month) — encounters per day, collected $/prov/yr, MRR/prov/mo:</t>
  </si>
  <si>
    <t>Phase</t>
  </si>
  <si>
    <t>New prac.</t>
  </si>
  <si>
    <t>Practices</t>
  </si>
  <si>
    <t>Providers</t>
  </si>
  <si>
    <t>Revenue / mo</t>
  </si>
  <si>
    <t>Run-rate ARR</t>
  </si>
  <si>
    <t>Cost-to-serve / mo</t>
  </si>
  <si>
    <t>Corp opex / mo</t>
  </si>
  <si>
    <t>EBITDA / mo</t>
  </si>
  <si>
    <t>Cash</t>
  </si>
  <si>
    <t>Enc / day</t>
  </si>
  <si>
    <t>Collected $/prov/yr</t>
  </si>
  <si>
    <t>MRR / prov / mo</t>
  </si>
  <si>
    <t>Monthly P&amp;L</t>
  </si>
  <si>
    <t>The 72-month series: revenue → gross profit → EBITDA. Live off the Proforma.</t>
  </si>
  <si>
    <t>Revenue</t>
  </si>
  <si>
    <t>Cost-to-serve</t>
  </si>
  <si>
    <t>Gross profit</t>
  </si>
  <si>
    <t>Corp opex</t>
  </si>
  <si>
    <t>EBITDA</t>
  </si>
  <si>
    <t>Margin</t>
  </si>
  <si>
    <t>P&amp;L — annual</t>
  </si>
  <si>
    <t>Live roll-up of the 72-month engine — every cell sums the Proforma.</t>
  </si>
  <si>
    <t>Year-end cash</t>
  </si>
  <si>
    <t>EBITDA Proforma</t>
  </si>
  <si>
    <t>Revenue → gross profit → EBITDA, by year. Live.</t>
  </si>
  <si>
    <t>(−) Cost-to-serve</t>
  </si>
  <si>
    <t>(−) Corp opex</t>
  </si>
  <si>
    <t>Revenue Build</t>
  </si>
  <si>
    <t>SaaS vs RCM split of revenue, by year. SaaS share = SaaS price / blended MRR.</t>
  </si>
  <si>
    <t>Total revenue</t>
  </si>
  <si>
    <t>SaaS revenue</t>
  </si>
  <si>
    <t>RCM revenue</t>
  </si>
  <si>
    <t>Providers (year-end)</t>
  </si>
  <si>
    <t>Provider Ramp</t>
  </si>
  <si>
    <t>Practices and providers by year-end; new practices per year.</t>
  </si>
  <si>
    <t>Practices (year-end)</t>
  </si>
  <si>
    <t>New practices in year</t>
  </si>
  <si>
    <t>Churn &amp; Retention</t>
  </si>
  <si>
    <t>Logo and revenue retention off the churn input.</t>
  </si>
  <si>
    <t>Annual practice churn</t>
  </si>
  <si>
    <t>input</t>
  </si>
  <si>
    <t>Logo retention (annual)</t>
  </si>
  <si>
    <t>Monthly survival factor</t>
  </si>
  <si>
    <t>Avg practice lifetime</t>
  </si>
  <si>
    <t>1 / churn</t>
  </si>
  <si>
    <t>Gross revenue retention</t>
  </si>
  <si>
    <t>no expansion modeled</t>
  </si>
  <si>
    <t>expansion is upside</t>
  </si>
  <si>
    <t>Collections — encounters ramp &amp; physician income</t>
  </si>
  <si>
    <t>Each provider's encounters per day grow 20 to 28 as REV's AI lifts efficiency. Green rows are the PRACTICE's own collections (physician income); the last two are REV's fee on top.</t>
  </si>
  <si>
    <t>Op-yr 1</t>
  </si>
  <si>
    <t>Op-yr 2</t>
  </si>
  <si>
    <t>Op-yr 3</t>
  </si>
  <si>
    <t>Op-yr 4</t>
  </si>
  <si>
    <t>Op-yr 5</t>
  </si>
  <si>
    <t>Op-yr 6</t>
  </si>
  <si>
    <t>Encounters / clinical day</t>
  </si>
  <si>
    <t>Collected $ / physician / yr (gross)</t>
  </si>
  <si>
    <t xml:space="preserve">  + AI collections lift</t>
  </si>
  <si>
    <t>Collected $ / PRACTICE / yr</t>
  </si>
  <si>
    <t>What REV charges on top</t>
  </si>
  <si>
    <t>REV blended MRR / provider / mo</t>
  </si>
  <si>
    <t>REV RCM fee / provider / mo</t>
  </si>
  <si>
    <t>Physician income = the practice's own collections (rows above), which grow purely from efficiency — more visits/day — before any change in panel size. REV's fee (bottom) is a small slice on top.</t>
  </si>
  <si>
    <t>RCM Workload</t>
  </si>
  <si>
    <t>Claim volume and per-RCM-FTE load at scale (month 72).</t>
  </si>
  <si>
    <t>Encounters / provider / mo</t>
  </si>
  <si>
    <t>Claims / provider / mo</t>
  </si>
  <si>
    <t>Total claims / mo at exit</t>
  </si>
  <si>
    <t>RCM FTE at exit</t>
  </si>
  <si>
    <t>RCM Sr + Mid</t>
  </si>
  <si>
    <t>Claims / RCM-FTE / mo</t>
  </si>
  <si>
    <t>AI-leveraged load</t>
  </si>
  <si>
    <t>Unit Economics</t>
  </si>
  <si>
    <t>Per-provider revenue, cost, and contribution at scale.</t>
  </si>
  <si>
    <t>Revenue / provider / mo</t>
  </si>
  <si>
    <t>blended MRR</t>
  </si>
  <si>
    <t>Cost-to-serve / provider / mo</t>
  </si>
  <si>
    <t>at month 72</t>
  </si>
  <si>
    <t>Contribution / provider / mo</t>
  </si>
  <si>
    <t>Contribution margin</t>
  </si>
  <si>
    <t>MD-APP Mix (sensitivity)</t>
  </si>
  <si>
    <t>Blended SaaS across MD/APP mix. Base = 100% MD. APP = the PA/NP price input.</t>
  </si>
  <si>
    <t>Mix</t>
  </si>
  <si>
    <t>Blended SaaS</t>
  </si>
  <si>
    <t>vs 100% MD</t>
  </si>
  <si>
    <t>100% MD / 0% APP</t>
  </si>
  <si>
    <t>75% MD / 25% APP</t>
  </si>
  <si>
    <t>67% MD / 33% APP</t>
  </si>
  <si>
    <t>50% MD / 50% APP</t>
  </si>
  <si>
    <t>25% MD / 75% APP</t>
  </si>
  <si>
    <t>Cost-to-Serve</t>
  </si>
  <si>
    <t>Per-encounter / per-claim COGS stack + the service team. Live off the inputs. AT-SCALE figures (month 72) — cost-to-serve is higher early; expanding beyond PCP into specialties spreads the RCM platform cost and lowers it further.</t>
  </si>
  <si>
    <t>Per-encounter / per-claim COGS</t>
  </si>
  <si>
    <t>AI-scribe + Azure / encounter</t>
  </si>
  <si>
    <t>AI &amp; Azure infra</t>
  </si>
  <si>
    <t>eRx / encounter</t>
  </si>
  <si>
    <t>Surescripts</t>
  </si>
  <si>
    <t>Clearinghouse / claim</t>
  </si>
  <si>
    <t>EDI 837/270/271/835</t>
  </si>
  <si>
    <t>at scale: 28/day x 255/yr</t>
  </si>
  <si>
    <t>Licensing / provider / yr</t>
  </si>
  <si>
    <t>Platform flat / yr</t>
  </si>
  <si>
    <t>TEFCA + interfaces</t>
  </si>
  <si>
    <t>At scale (month 72)</t>
  </si>
  <si>
    <t>COGS + service team</t>
  </si>
  <si>
    <t>Cost-to-serve % of revenue</t>
  </si>
  <si>
    <t>the ~22% line</t>
  </si>
  <si>
    <t>Service-team labor / mo</t>
  </si>
  <si>
    <t>from the Staffing engine</t>
  </si>
  <si>
    <t>AI-Scribe &amp; Azure — cost / encounter (bottom-up)</t>
  </si>
  <si>
    <t>On-device transcription handles 90% ($0); only the 10% cloud slice + AI summarization + Azure storage (audio archived 7 yrs, optional +7) cost money. Blue = input, gray = calculated.</t>
  </si>
  <si>
    <t>Inputs</t>
  </si>
  <si>
    <t>Ambient audio / encounter</t>
  </si>
  <si>
    <t>min/encounter</t>
  </si>
  <si>
    <t>~20 min of ambient audio captured per visit.</t>
  </si>
  <si>
    <t>On-device transcription %</t>
  </si>
  <si>
    <t>90% transcribed on-device ($0 cloud); only 10% of audio hits the cloud.</t>
  </si>
  <si>
    <t>Cloud transcription / audio-min (EST)</t>
  </si>
  <si>
    <t>$/audio-min</t>
  </si>
  <si>
    <t>ESTIMATE — Azure speech-to-text ~$1/audio-hour for the 10% cloud slice. Confirm.</t>
  </si>
  <si>
    <t>AI tokens / encounter (EST)</t>
  </si>
  <si>
    <t>tokens</t>
  </si>
  <si>
    <t>ESTIMATE — transcript -&gt; structured note summarization. Confirm.</t>
  </si>
  <si>
    <t>AI inference / 1M tokens (EST)</t>
  </si>
  <si>
    <t>$/1M tokens</t>
  </si>
  <si>
    <t>ESTIMATE — cheap summarization model. Confirm.</t>
  </si>
  <si>
    <t>Serverless calls / encounter (EST)</t>
  </si>
  <si>
    <t>calls</t>
  </si>
  <si>
    <t>ESTIMATE — function calls across the visit workflow. Confirm.</t>
  </si>
  <si>
    <t>Azure serverless / 1M calls</t>
  </si>
  <si>
    <t>$/1M calls</t>
  </si>
  <si>
    <t>$1 per 1,000,000 serverless function calls.</t>
  </si>
  <si>
    <t>Audio size / minute (EST)</t>
  </si>
  <si>
    <t>MB/min</t>
  </si>
  <si>
    <t>ESTIMATE — Opus ~16 kbps speech ~0.12 MB/min (~2.4 MB/encounter). Confirm.</t>
  </si>
  <si>
    <t>Azure blob storage / GB / mo</t>
  </si>
  <si>
    <t>$/GB/mo</t>
  </si>
  <si>
    <t>Object storage for archived audio.</t>
  </si>
  <si>
    <t>DB data / encounter (EST)</t>
  </si>
  <si>
    <t>MB</t>
  </si>
  <si>
    <t>ESTIMATE — structured note + discrete data per encounter. Confirm.</t>
  </si>
  <si>
    <t>Azure DB storage / GB / mo</t>
  </si>
  <si>
    <t>Database storage for structured data.</t>
  </si>
  <si>
    <t>Audio archive (years)</t>
  </si>
  <si>
    <t>Audio retained 7 years (base retention).</t>
  </si>
  <si>
    <t>Audio archive — optional +years</t>
  </si>
  <si>
    <t>Optional additional 7 years -&gt; 14 total.</t>
  </si>
  <si>
    <t>Per-encounter cost build</t>
  </si>
  <si>
    <t>Cloud transcription (10% slice)</t>
  </si>
  <si>
    <t>audio-min x cloud share x $/audio-min</t>
  </si>
  <si>
    <t>AI inference (summarization)</t>
  </si>
  <si>
    <t>tokens x $/1M tokens</t>
  </si>
  <si>
    <t>Serverless compute</t>
  </si>
  <si>
    <t>calls x $/1M calls</t>
  </si>
  <si>
    <t>One-time / encounter (subtotal)</t>
  </si>
  <si>
    <t>Storage (amortized over the retention window)</t>
  </si>
  <si>
    <t>Audio stored / encounter (GB)</t>
  </si>
  <si>
    <t>audio-min x MB/min / 1024</t>
  </si>
  <si>
    <t>Audio storage — 7 yr</t>
  </si>
  <si>
    <t>GB x $/GB/mo x (7 x 12 mo)</t>
  </si>
  <si>
    <t>Audio storage — optional +7 yr</t>
  </si>
  <si>
    <t>the optional second 7 years</t>
  </si>
  <si>
    <t>DB storage — 7 yr</t>
  </si>
  <si>
    <t>structured note + discrete data</t>
  </si>
  <si>
    <t>TOTAL / encounter — 0–7 yr  (used by the model)</t>
  </si>
  <si>
    <t>one-time + 7-yr storage</t>
  </si>
  <si>
    <t>TOTAL / encounter — 0–14 yr</t>
  </si>
  <si>
    <t>with the optional +7-yr archive</t>
  </si>
  <si>
    <t>Archive cost build by year (one encounter's data)</t>
  </si>
  <si>
    <t>Year</t>
  </si>
  <si>
    <t>Months stored</t>
  </si>
  <si>
    <t>Audio $/enc (cum)</t>
  </si>
  <si>
    <t>DB $/enc (cum)</t>
  </si>
  <si>
    <t>Running $/enc</t>
  </si>
  <si>
    <t>EST inputs (audio MB/min, cloud $/min, AI tokens, $/1M tokens, serverless calls, DB MB) are estimates — confirm. Audio archived 7 yr (base) + optional 7; DB 7 yr.</t>
  </si>
  <si>
    <t>Cloud &amp; Azure COGS</t>
  </si>
  <si>
    <t>Per-encounter infra cost x encounter volume.</t>
  </si>
  <si>
    <t>Total encounters / mo at exit</t>
  </si>
  <si>
    <t>Cloud COGS / mo at exit</t>
  </si>
  <si>
    <t>Cloud COGS / yr at exit</t>
  </si>
  <si>
    <t>RCM cost efficiency and AI deflation.</t>
  </si>
  <si>
    <t>Clearinghouse $ / claim</t>
  </si>
  <si>
    <t>Cost-to-serve % of revenue (exit)</t>
  </si>
  <si>
    <t>Cost-to-serve / provider / mo (exit)</t>
  </si>
  <si>
    <t>falls with scale + AI</t>
  </si>
  <si>
    <t>AI deflation (op-yr 1→5)</t>
  </si>
  <si>
    <t>1.34 → 1.21 → 1.06 → 1.0 → 0.94</t>
  </si>
  <si>
    <t>multiplies AI-assisted RCM headcount</t>
  </si>
  <si>
    <t>Headcount by Position</t>
  </si>
  <si>
    <t>FTE by role at each year-end, from the Staffing engine.</t>
  </si>
  <si>
    <t>Grp</t>
  </si>
  <si>
    <t>Total FTE</t>
  </si>
  <si>
    <t>Corp Expenses</t>
  </si>
  <si>
    <t>Corp labor + fixed opex by year, from the engine.</t>
  </si>
  <si>
    <t>Corp labor (SWB)</t>
  </si>
  <si>
    <t>Total corp opex</t>
  </si>
  <si>
    <t>Fixed opex (implied)</t>
  </si>
  <si>
    <t>Capex</t>
  </si>
  <si>
    <t>ILLUSTRATIVE equipment estimate — NOT a model output.</t>
  </si>
  <si>
    <t>ILLUSTRATIVE — not engine output</t>
  </si>
  <si>
    <t>for anyone building a formal capex schedule</t>
  </si>
  <si>
    <t>Equipment / FTE</t>
  </si>
  <si>
    <t>3500</t>
  </si>
  <si>
    <t>est. laptop + workstation</t>
  </si>
  <si>
    <t>FTE at exit</t>
  </si>
  <si>
    <t>from engine</t>
  </si>
  <si>
    <t>Illustrative capex at exit</t>
  </si>
  <si>
    <t>$3,500 x FTE (illustrative)</t>
  </si>
  <si>
    <t>Cash Flow — annual</t>
  </si>
  <si>
    <t>EBITDA → ending cash, by year. Live.</t>
  </si>
  <si>
    <t>EBITDA (annual)</t>
  </si>
  <si>
    <t>Seed raised</t>
  </si>
  <si>
    <t>Net cash flow</t>
  </si>
  <si>
    <t>Ending cash</t>
  </si>
  <si>
    <t>Cash Flow (OIF)</t>
  </si>
  <si>
    <t>Operating / investing / financing, by year. Live (simplified).</t>
  </si>
  <si>
    <t>Operating: EBITDA</t>
  </si>
  <si>
    <t>Investing (capex)</t>
  </si>
  <si>
    <t>Financing (seed)</t>
  </si>
  <si>
    <t>Working Capital</t>
  </si>
  <si>
    <t>A/R from collections and DSO. Simplified.</t>
  </si>
  <si>
    <t>DSO (days)</t>
  </si>
  <si>
    <t>Revenue / mo at exit</t>
  </si>
  <si>
    <t>A/R at exit</t>
  </si>
  <si>
    <t>rev/mo x DSO/30.4</t>
  </si>
  <si>
    <t>Tax (NOL)</t>
  </si>
  <si>
    <t>NOL carryforward, then tax. Simplified.</t>
  </si>
  <si>
    <t>Pre-tax income (EBITDA)</t>
  </si>
  <si>
    <t>Cumulative income</t>
  </si>
  <si>
    <t>Taxable income</t>
  </si>
  <si>
    <t>Income tax</t>
  </si>
  <si>
    <t>Sources &amp; Uses</t>
  </si>
  <si>
    <t>Year-0 sources and uses of the seed.</t>
  </si>
  <si>
    <t>Sources</t>
  </si>
  <si>
    <t>Founders' opening cash</t>
  </si>
  <si>
    <t>Total sources</t>
  </si>
  <si>
    <t>Uses</t>
  </si>
  <si>
    <t>Runway to EBITDA-positive</t>
  </si>
  <si>
    <t>funds the build + go-to-market to breakeven</t>
  </si>
  <si>
    <t>Returns &amp; model outputs</t>
  </si>
  <si>
    <t>Every figure is a live formula off the inputs — change a blue input and it recalculates.</t>
  </si>
  <si>
    <t>Unit economics</t>
  </si>
  <si>
    <t>Collected $ / provider / yr</t>
  </si>
  <si>
    <t>22 x 255 x $150 (live)</t>
  </si>
  <si>
    <t>SaaS + RCM% (live)</t>
  </si>
  <si>
    <t>Exit &amp; returns</t>
  </si>
  <si>
    <t>Providers at exit (mo 72)</t>
  </si>
  <si>
    <t>live — from the 72-month build</t>
  </si>
  <si>
    <t>Hold (years to exit)</t>
  </si>
  <si>
    <t>live — providers x MRR x 12</t>
  </si>
  <si>
    <t>Exit enterprise value (base)</t>
  </si>
  <si>
    <t>ARR x base multiple</t>
  </si>
  <si>
    <t>Investor proceeds (base)</t>
  </si>
  <si>
    <t>EV x seed ownership x dilution retention</t>
  </si>
  <si>
    <t>Gross MOIC (base)</t>
  </si>
  <si>
    <t>MOIC (downside floor)</t>
  </si>
  <si>
    <t>at the conservative floor multiple</t>
  </si>
  <si>
    <t>Profitability</t>
  </si>
  <si>
    <t>live — month-72 EBITDA x 12 (bottom-up)</t>
  </si>
  <si>
    <t>bottom-up from the staffing + cost engine</t>
  </si>
  <si>
    <t>from the staffing engine</t>
  </si>
  <si>
    <t>Equity Returns</t>
  </si>
  <si>
    <t>Seed economics from cap table to proceeds.</t>
  </si>
  <si>
    <t>Seed ownership</t>
  </si>
  <si>
    <t>held to exit</t>
  </si>
  <si>
    <t>Exit multiple (base)</t>
  </si>
  <si>
    <t>MOIC at 6x floor</t>
  </si>
  <si>
    <t>Returns Sensitivity</t>
  </si>
  <si>
    <t>Gross MOIC across exit multiple (rows) x ARR vs plan (cols). Live off exit ARR + ownership + seed.</t>
  </si>
  <si>
    <t>Gross MOIC = exit ARR x haircut x multiple x ownership / seed</t>
  </si>
  <si>
    <t>mult ╲ ARR</t>
  </si>
  <si>
    <t>100% of plan</t>
  </si>
  <si>
    <t>85% of plan</t>
  </si>
  <si>
    <t>70% of plan</t>
  </si>
  <si>
    <t>55% of plan</t>
  </si>
  <si>
    <t>12x exit</t>
  </si>
  <si>
    <t>10x exit</t>
  </si>
  <si>
    <t>8x exit</t>
  </si>
  <si>
    <t>6x exit</t>
  </si>
  <si>
    <t>Retention Upside</t>
  </si>
  <si>
    <t>NRR &gt; 100% scenario (not in base) — seat expansion + price uplift.</t>
  </si>
  <si>
    <t>Base NRR</t>
  </si>
  <si>
    <t>Upside NRR (illustrative)</t>
  </si>
  <si>
    <t>1.10</t>
  </si>
  <si>
    <t>+10% net expansion</t>
  </si>
  <si>
    <t>Base exit ARR</t>
  </si>
  <si>
    <t>ARR with +10% NRR (illustrative)</t>
  </si>
  <si>
    <t>illustrative only — not in base</t>
  </si>
  <si>
    <t>Cap Table</t>
  </si>
  <si>
    <t>Seed at 20% with no Series A/B dilution (base case).</t>
  </si>
  <si>
    <t>Post-money valuation</t>
  </si>
  <si>
    <t>pre + seed</t>
  </si>
  <si>
    <t>Founders ownership</t>
  </si>
  <si>
    <t>Balance Sheet</t>
  </si>
  <si>
    <t>Simplified identity at exit: Cash = Paid-in + Retained earnings (no A/R modeled here).</t>
  </si>
  <si>
    <t>Assets</t>
  </si>
  <si>
    <t>Cash (month 72)</t>
  </si>
  <si>
    <t>ending cash from the engine</t>
  </si>
  <si>
    <t>Equity</t>
  </si>
  <si>
    <t>Paid-in capital</t>
  </si>
  <si>
    <t>seed + founders' opening cash</t>
  </si>
  <si>
    <t>Retained earnings</t>
  </si>
  <si>
    <t>cumulative EBITDA</t>
  </si>
  <si>
    <t>Total equity</t>
  </si>
  <si>
    <t>equals cash (balances)</t>
  </si>
  <si>
    <t>Market (TAM-SAM-SOM)</t>
  </si>
  <si>
    <t>TAM/SAM are illustrative market inputs; SOM is the model's exit ARR (live).</t>
  </si>
  <si>
    <t>TAM — US ambulatory EMR+RCM</t>
  </si>
  <si>
    <t>illustrative ($14B)</t>
  </si>
  <si>
    <t>SAM — independent PCP groups</t>
  </si>
  <si>
    <t>illustrative (~$4B)</t>
  </si>
  <si>
    <t>SOM — REV at exit (live)</t>
  </si>
  <si>
    <t>model exit ARR</t>
  </si>
  <si>
    <t>SOM % of SAM</t>
  </si>
  <si>
    <t>penetration</t>
  </si>
  <si>
    <t>Why Now</t>
  </si>
  <si>
    <t>Regulatory + market drivers (qualitative).</t>
  </si>
  <si>
    <t>FHIR / USCDI mandates (2026-27)</t>
  </si>
  <si>
    <t>Every EMR must expose FHIR US Core + USCDI v3. Incumbents retrofit; REV is native.</t>
  </si>
  <si>
    <t>TEFCA national exchange</t>
  </si>
  <si>
    <t>National data exchange live — REV is built on it, not bolted onto it.</t>
  </si>
  <si>
    <t>Payer prior-auth APIs (2026-27)</t>
  </si>
  <si>
    <t>CMS interoperability + prior-authorization final rule forces API-first workflows.</t>
  </si>
  <si>
    <t>Independent PCP squeeze</t>
  </si>
  <si>
    <t>Admin burden is pushing groups to modernize or consolidate — the window to win them.</t>
  </si>
  <si>
    <t>AI inflection</t>
  </si>
  <si>
    <t>Ambient scribe + autonomous coding/denials are finally production-grade.</t>
  </si>
  <si>
    <t>Competition</t>
  </si>
  <si>
    <t>REV vs incumbents — all-in software cost / provider / mo (illustrative, anonymized).</t>
  </si>
  <si>
    <t>Vendor</t>
  </si>
  <si>
    <t>All-in $/prov/mo</t>
  </si>
  <si>
    <t>AI scribe</t>
  </si>
  <si>
    <t>RCM</t>
  </si>
  <si>
    <t>REV (all-in)</t>
  </si>
  <si>
    <t>~$595</t>
  </si>
  <si>
    <t>included</t>
  </si>
  <si>
    <t>4.9%</t>
  </si>
  <si>
    <t>published, all-inclusive</t>
  </si>
  <si>
    <t>Incumbent #01</t>
  </si>
  <si>
    <t>~$1,000+</t>
  </si>
  <si>
    <t>add-on</t>
  </si>
  <si>
    <t>fees surface on the MSA</t>
  </si>
  <si>
    <t>Incumbent #02</t>
  </si>
  <si>
    <t>~$700+</t>
  </si>
  <si>
    <t>BYO RCM</t>
  </si>
  <si>
    <t>extras pile on</t>
  </si>
  <si>
    <t>Incumbent #03</t>
  </si>
  <si>
    <t>~$500+</t>
  </si>
  <si>
    <t>none</t>
  </si>
  <si>
    <t>EMR-only / BYOR</t>
  </si>
  <si>
    <t>Exit Comps</t>
  </si>
  <si>
    <t>Illustrative EMR/RCM exit multiples (public benchmarks, not REV results).</t>
  </si>
  <si>
    <t>Base case multiple (REV)</t>
  </si>
  <si>
    <t>on run-rate ARR</t>
  </si>
  <si>
    <t>Downside floor (REV)</t>
  </si>
  <si>
    <t>athenahealth take-private</t>
  </si>
  <si>
    <t>~$17B / ~6-7x rev</t>
  </si>
  <si>
    <t>illustrative benchmark</t>
  </si>
  <si>
    <t>Health-IT SaaS range</t>
  </si>
  <si>
    <t>8-15x ARR</t>
  </si>
  <si>
    <t>illustrative</t>
  </si>
  <si>
    <t>Glossary</t>
  </si>
  <si>
    <t>Key terms used across the model.</t>
  </si>
  <si>
    <t>ARR</t>
  </si>
  <si>
    <t>Annual recurring revenue. Run-rate = exit-month revenue x 12.</t>
  </si>
  <si>
    <t>MRR</t>
  </si>
  <si>
    <t>Monthly recurring revenue per provider — blended SaaS + RCM%.</t>
  </si>
  <si>
    <t>MOIC</t>
  </si>
  <si>
    <t>Multiple on invested capital = investor proceeds / seed invested.</t>
  </si>
  <si>
    <t>Internal rate of return — annualized, over the hold period.</t>
  </si>
  <si>
    <t>COGS (per-encounter/claim) + the per-provider service team.</t>
  </si>
  <si>
    <t>Run-rate</t>
  </si>
  <si>
    <t>Exit-month figure annualized (x12) — not the ramping full-year.</t>
  </si>
  <si>
    <t>APP</t>
  </si>
  <si>
    <t>Advanced practice provider (PA / NP).</t>
  </si>
  <si>
    <t>NOL</t>
  </si>
  <si>
    <t>Net operating loss carried forward to offset future taxable income.</t>
  </si>
  <si>
    <t>Fully-loaded</t>
  </si>
  <si>
    <t>Salary + 20% for benefits / taxes / overhead.</t>
  </si>
  <si>
    <t>Change Log</t>
  </si>
  <si>
    <t>Model lineage and reconciliation notes.</t>
  </si>
  <si>
    <t>v3 refactor (2026-06-26)</t>
  </si>
  <si>
    <t>Fresh single-source JSON + formula-driven generator (this workbook).</t>
  </si>
  <si>
    <t>Growth</t>
  </si>
  <si>
    <t>Testing-then-explode curve — flat dev + ~1-yr testing, then the hockey-stick.</t>
  </si>
  <si>
    <t>$595 MD/DO, $395 PA/NP; base case 100% MD; blend is a sensitivity.</t>
  </si>
  <si>
    <t>Lean roster — ~64 FTE / ~73% run-rate EBITDA at scale.</t>
  </si>
  <si>
    <t>Bottom-up from the staffing + cost-to-serve engine (not a margin input).</t>
  </si>
  <si>
    <t>Notes &amp; Sources</t>
  </si>
  <si>
    <t>Every assumption, its rationale, and where it comes from.</t>
  </si>
  <si>
    <t>Note / source</t>
  </si>
  <si>
    <t>Months of build before first paying practice.  —  source: golden Assumptions-Main; engine timeline.build_months</t>
  </si>
  <si>
    <t>HELD AT 2.5 to keep the published growth calibration (1,106 providers / 442 practices @ mo72). Industry is ~4–5 providers/practice; raising this here multiplies providers (and the whole headline) ~1.8x — re-tune the practice-growth curve before adopting 4.5. (Jeff 2026-06-26: keep 2.5 with the enc/day-28 + 67/33 blend move.)  —  source: Jeff 2026-06-26 — keep 2.5 (deck calibration); industry ~4–5 needs growth-curve re-tune</t>
  </si>
  <si>
    <t>First-year discount/ramp applied to price and FTE ratios.  —  source: golden Assumptions-Main (yr1_discount 0.5 in engine — RECONCILE)</t>
  </si>
  <si>
    <t>First pilot practice(s) at the end of the dev period.  —  source: Jeff — testing-then-explode curve</t>
  </si>
  <si>
    <t>~6 months of testing after go-live: only a few pilot practices added per month, then providers explode.  —  source: Jeff 2026-06-26 — testing period = 6 months</t>
  </si>
  <si>
    <t>Deliberately slow while we prove it out.  —  source: Jeff — testing-then-explode curve</t>
  </si>
  <si>
    <t>Annual practice growth once testing is done — the hockey-stick. ~+139%/yr → ~1,106 providers / ~$62M ARR by mo72 (defensible). NOTE: cash dips to ~-$337K at m37 (pre-breakeven); holding a $500K floor needs a STRUCTURAL lever (lean/shorten dev+testing, modest cash, or a lower floor) — growth tuning alone can't (see Change Log).  —  source: Jeff — testing-then-explode curve</t>
  </si>
  <si>
    <t>Annual logo churn on the practice base.  —  source: engine churn.churn_annual</t>
  </si>
  <si>
    <t>The model auto-throttles the explosion whenever last month's cash is under this floor — so cash never goes below it. Raise/lower the safety cushion here.  —  source: Jeff 2026-06-26 — cash can't go negative</t>
  </si>
  <si>
    <t>The softened growth rate applied while cash is below the floor (vs the full explode rate above). Soft-launch the gas, full speed once solvent.  —  source: Jeff 2026-06-26 — soften the explosion</t>
  </si>
  <si>
    <t>Headline list price per physician seat. BASE CASE = 100% MD/DO.  —  source: golden Assumptions-Main; engine saas_md_do</t>
  </si>
  <si>
    <t>APP list price. Used in the MD-APP blend SENSITIVITY, not the base.  —  source: Jeff 2026-06-26 pricing decision; engine saas_pa_np</t>
  </si>
  <si>
    <t>Base = 67% MD/DO @ $595 + 33% NP/PA @ $395 → blended ~$529/provider/mo. Industry: ~65–70% physicians, 30–35% NP/PA.  —  source: Jeff 2026-06-26 — 67% MD / 33% APP base</t>
  </si>
  <si>
    <t>Revenue-cycle fee as a share of collected dollars.  —  source: golden Assumptions-Main; engine rcm_pct</t>
  </si>
  <si>
    <t>Fraction of practices that take RCM.  —  source: golden Assumptions-Main; engine rcm_attach</t>
  </si>
  <si>
    <t>Base/upside exit on run-rate revenue.  —  source: golden Assumptions-Main; engine</t>
  </si>
  <si>
    <t>Conservative downside floor multiple.  —  source: REV exit-multiple page</t>
  </si>
  <si>
    <t>Visits per provider per clinical day when a practice starts on REV.  —  source: Jeff 2026-06-26 — efficiency ramp</t>
  </si>
  <si>
    <t>Steady-state encounters per day once REV's AI tooling has lifted efficiency. Ramps 20 → 28.  —  source: Jeff 2026-06-26 — efficiency ramp 20 to 28</t>
  </si>
  <si>
    <t>Efficiency ramp (years to full speed)</t>
  </si>
  <si>
    <t>Years for encounters per day to ramp linearly from start to at-scale, then hold.  —  source: Jeff 2026-06-26 — ramp over 3 years</t>
  </si>
  <si>
    <t>Working clinical days per provider per year.  —  source: golden Assumptions-Main</t>
  </si>
  <si>
    <t>Avg collections per visit. 22 x 255 x 150 = $841,500 collected/provider/yr (baseline_coll).  —  source: golden Assumptions-Main; engine baseline_coll</t>
  </si>
  <si>
    <t>AI capture lift on collections (1 + edge x capture).  —  source: golden Assumptions-Details</t>
  </si>
  <si>
    <t>Headline $4M seed.  —  source: golden Assumptions-Main</t>
  </si>
  <si>
    <t>Founders' cash on day 1 before the seed wires.  —  source: golden Assumptions-Main</t>
  </si>
  <si>
    <t>$16M pre + $4M = $20M post -&gt; 20% seed ownership.  —  source: REV returns</t>
  </si>
  <si>
    <t>DERIVED — = seed_raise / (pre_money + seed_raise). No Series A/B dilution in the base case.  —  source: REV returns</t>
  </si>
  <si>
    <t>1.0 = no Series A/B dilution (base). Realistic scenario models dilution: seed ~20% -&gt; ~8% = 0.40.  —  source: Jeff 2026-06-26 — scenario lever</t>
  </si>
  <si>
    <t>Additional capital injected mid-build (the raise that causes the dilution). $0 in self-funded scenarios.  —  source: Jeff 2026-06-26 — scenario lever</t>
  </si>
  <si>
    <t>Month the follow-on capital lands.  —  source: Jeff 2026-06-26 — scenario lever</t>
  </si>
  <si>
    <t>Pushes every non-engineering hire this many months later to protect the cash floor — growth is exogenous, so this trims burn without slowing revenue.  —  source: Jeff 2026-06-26 — keep min cash &gt;= $400K</t>
  </si>
  <si>
    <t>DERIVED — = exit month / 12 (off the 72-month build).  —  source: golden</t>
  </si>
  <si>
    <t>Average collection lag; drives A/R / working capital.  —  source: engine working_capital.dso_days</t>
  </si>
  <si>
    <t>Applied to taxable income after NOL carryforward.  —  source: US federal corporate rate</t>
  </si>
  <si>
    <t>Dev tooling &amp; CI, cloud baseline (non-COGS), security/SSO, productivity, analytics, support desk.  —  source: Jeff 2026-06-26 — remote-first opex</t>
  </si>
  <si>
    <t>Corporate counsel, contracts/MSAs/BAAs, IP, bookkeeping, fractional CFO, tax prep.  —  source: Jeff 2026-06-26 — remote-first opex</t>
  </si>
  <si>
    <t>D&amp;O, E&amp;O / professional liability, cyber, general liability. STARTS at $0 and ramps to this over the years below — coverage is minimal pre-revenue and scales with the clinical-data footprint.  —  source: Jeff 2026-06-26 — insurance ramps from $0</t>
  </si>
  <si>
    <t>Years to ramp insurance from $0 to the at-scale figure above (linear).  —  source: Jeff 2026-06-26 — insurance ramps from $0</t>
  </si>
  <si>
    <t>HIPAA program, SOC 2 / HITRUST prep &amp; audit, ONC/HTI cert fees, pen-tests, TEFCA/Surescripts.  —  source: Jeff 2026-06-26 — remote-first opex</t>
  </si>
  <si>
    <t>Payroll/PEO admin, banking &amp; FX fees, recruiting, HRIS, benefits admin.  —  source: Jeff 2026-06-26 — remote-first opex</t>
  </si>
  <si>
    <t>Customer-acquisition cost per provider. Base scenarios assume a captive channel ($0); Realistic scenario models ~$5k/provider.  —  source: Jeff 2026-06-26 — scenario lever</t>
  </si>
  <si>
    <t>$0 — REMOTE-FIRST, no office for the first 18+ months. Add a line here only when a clinic-ops HQ is actually needed.  —  source: Jeff 2026-06-26 — no rent for 18 months</t>
  </si>
  <si>
    <t>+46.7% per operating year on the non-insurance base (x1.467/yr).  —  source: golden Assumptions-Main</t>
  </si>
  <si>
    <t>AI-scribe + Azure / encounter (DERIVED)</t>
  </si>
  <si>
    <t>DERIVED bottom-up on the AI-Scribe &amp; Azure tab — not an input. Old static value kept for reference only.  —  source: AI-Scribe &amp; Azure tab</t>
  </si>
  <si>
    <t>~20 min of ambient audio captured per visit.  —  source: Jeff 2026-06-26</t>
  </si>
  <si>
    <t>90% transcribed on-device ($0 cloud); only 10% of audio hits the cloud.  —  source: Jeff 2026-06-26</t>
  </si>
  <si>
    <t>ESTIMATE — Azure speech-to-text ~$1/audio-hour for the 10% cloud slice. Confirm.  —  source: estimate — confirm</t>
  </si>
  <si>
    <t>ESTIMATE — transcript -&gt; structured note summarization. Confirm.  —  source: estimate — confirm</t>
  </si>
  <si>
    <t>ESTIMATE — cheap summarization model. Confirm.  —  source: estimate — confirm</t>
  </si>
  <si>
    <t>ESTIMATE — function calls across the visit workflow. Confirm.  —  source: estimate — confirm</t>
  </si>
  <si>
    <t>$1 per 1,000,000 serverless function calls.  —  source: Jeff 2026-06-26</t>
  </si>
  <si>
    <t>ESTIMATE — Opus ~16 kbps speech ~0.12 MB/min (~2.4 MB/encounter). Confirm.  —  source: estimate — confirm</t>
  </si>
  <si>
    <t>Object storage for archived audio.  —  source: Jeff 2026-06-26</t>
  </si>
  <si>
    <t>ESTIMATE — structured note + discrete data per encounter. Confirm.  —  source: estimate — confirm</t>
  </si>
  <si>
    <t>Database storage for structured data.  —  source: Jeff 2026-06-26</t>
  </si>
  <si>
    <t>Audio retained 7 years (base retention).  —  source: Jeff 2026-06-26</t>
  </si>
  <si>
    <t>Optional additional 7 years -&gt; 14 total.  —  source: Jeff 2026-06-26</t>
  </si>
  <si>
    <t>EDI transaction cost per claim.  —  source: golden Assumptions-Details</t>
  </si>
  <si>
    <t>Claim volume per visit.  —  source: golden Assumptions-Details</t>
  </si>
  <si>
    <t>e-prescribing transaction cost.  —  source: golden Assumptions-Details</t>
  </si>
  <si>
    <t>$0 to REV — NOT absorbed: card-processing fees are passed through to the practice at their own merchant/credit-card rates (not forgotten, just not REV's cost). Set &gt;0 only if REV ever eats interchange.  —  source: Jeff 2026-06-26 — pass-through to physicians at their CC rates</t>
  </si>
  <si>
    <t>Per-provider annual licensing.  —  source: golden Assumptions-Details</t>
  </si>
  <si>
    <t>Company-wide flat platform cost.  —  source: golden Assumptions-Details</t>
  </si>
  <si>
    <t>Multiplier on base salaries.  —  source: golden Assumptions-Details</t>
  </si>
  <si>
    <t>Multiplies AI-assisted RCM headcount by operating year 1..5.  —  source: golden Assumptions-Details</t>
  </si>
  <si>
    <t>golden</t>
  </si>
  <si>
    <t>Jeff's trusted formula-driven model — REVhealth-proforma-4M-seed_2026-06-25-21-25-04.xlsx (1,985 live formulas; Investor Return first)</t>
  </si>
  <si>
    <t>engine</t>
  </si>
  <si>
    <t>prior C# engine canonical inputs — engine/canonical-inputs.json</t>
  </si>
  <si>
    <t>playground</t>
  </si>
  <si>
    <t>interactive editable model — docs/investor-portal-v2/proforma-playground.html + assets/playground.js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</si>
</sst>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.##"/>
    <numFmt numFmtId="165" formatCode="0.000"/>
    <numFmt numFmtId="166" formatCode="0.0%"/>
    <numFmt numFmtId="167" formatCode="\$#,##0"/>
    <numFmt numFmtId="168" formatCode="\$#,##0.00"/>
    <numFmt numFmtId="169" formatCode="\$0.0000"/>
    <numFmt numFmtId="170" formatCode="0.0"/>
    <numFmt numFmtId="171" formatCode="\$0.00000"/>
    <numFmt numFmtId="172" formatCode="[=1]&quot;Yes&quot;;&quot;—&quot;"/>
    <numFmt numFmtId="173" formatCode="0.0&quot;yr&quot;"/>
    <numFmt numFmtId="174" formatCode="0.0&quot;x&quot;"/>
    <numFmt numFmtId="175" formatCode="\$#,##0.0,,&quot;M&quot;"/>
    <numFmt numFmtId="176" formatCode="0&quot;x&quot;"/>
  </numFmts>
  <fonts count="32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.5"/>
      <color rgb="FF8A94A6"/>
      <name val="Calibri"/>
    </font>
    <font>
      <b/>
      <sz val="9.5"/>
      <color rgb="FF1A2330"/>
      <name val="Calibri"/>
    </font>
    <font>
      <sz val="9.5"/>
      <color rgb="FF3B4149"/>
      <name val="Calibri"/>
    </font>
    <font>
      <b/>
      <sz val="9"/>
      <color rgb="FF8A94A6"/>
      <name val="Calibri"/>
    </font>
    <font>
      <sz val="11"/>
      <color rgb="FF1A2330"/>
      <name val="Calibri"/>
    </font>
    <font>
      <b/>
      <sz val="11"/>
      <color rgb="FF1A2330"/>
      <name val="Calibri"/>
    </font>
    <font>
      <i/>
      <sz val="10"/>
      <color rgb="FF8A94A6"/>
      <name val="Calibri"/>
    </font>
    <font>
      <b/>
      <sz val="12"/>
      <color rgb="FF0A8A83"/>
      <name val="Calibri"/>
    </font>
    <font>
      <sz val="11"/>
      <color rgb="FF3B4149"/>
      <name val="Calibri"/>
    </font>
    <font>
      <sz val="10"/>
      <color rgb="FF3B4149"/>
      <name val="Calibri"/>
    </font>
    <font>
      <sz val="9"/>
      <color rgb="FF8A94A6"/>
      <name val="Calibri"/>
    </font>
    <font>
      <b/>
      <sz val="10.5"/>
      <color rgb="FF1A2330"/>
      <name val="Calibri"/>
    </font>
    <font>
      <b/>
      <sz val="8"/>
      <color rgb="FF8A94A6"/>
      <name val="Calibri"/>
    </font>
    <font>
      <sz val="9"/>
      <color rgb="FF3B4149"/>
      <name val="Calibri"/>
    </font>
    <font>
      <b/>
      <sz val="9.5"/>
      <color rgb="FF8A94A6"/>
      <name val="Calibri"/>
    </font>
    <font>
      <b/>
      <sz val="40"/>
      <color rgb="FFFFFFFF"/>
      <name val="Calibri"/>
    </font>
    <font>
      <b/>
      <sz val="34"/>
      <color rgb="FFFFFFFF"/>
      <name val="Calibri"/>
    </font>
    <font>
      <sz val="12.5"/>
      <color rgb="FFFFFFFF"/>
      <name val="Calibri"/>
    </font>
    <font>
      <b/>
      <sz val="14"/>
      <color rgb="FFFFFFFF"/>
      <name val="Calibri"/>
    </font>
    <font>
      <sz val="10"/>
      <color rgb="FFCDEAE8"/>
      <name val="Calibri"/>
    </font>
    <font>
      <b/>
      <sz val="22"/>
      <color rgb="FF0A8A83"/>
      <name val="Calibri"/>
    </font>
    <font>
      <b/>
      <sz val="13"/>
      <color rgb="FF0A8A83"/>
      <name val="Calibri"/>
    </font>
    <font>
      <sz val="10.5"/>
      <color rgb="FF1A2330"/>
      <name val="Calibri"/>
    </font>
    <font>
      <b/>
      <sz val="10"/>
      <color rgb="FFFFFFFF"/>
      <name val="Calibri"/>
    </font>
    <font>
      <b/>
      <sz val="10"/>
      <color rgb="FF8A94A6"/>
      <name val="Calibri"/>
    </font>
    <font>
      <b/>
      <sz val="11"/>
      <color rgb="FF0A8A83"/>
      <name val="Calibri"/>
    </font>
    <font>
      <b/>
      <sz val="11"/>
      <color rgb="FF2E7D32"/>
      <name val="Calibri"/>
    </font>
    <font>
      <sz val="10"/>
      <color rgb="FF1A2330"/>
      <name val="Calibri"/>
    </font>
    <font>
      <b/>
      <sz val="26"/>
      <color rgb="FF1A2330"/>
      <name val="Calibri"/>
    </font>
    <font>
      <b/>
      <sz val="12"/>
      <color rgb="FF1A233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4F7FA"/>
      </patternFill>
    </fill>
    <fill>
      <patternFill patternType="solid">
        <fgColor rgb="FFFFF2CC"/>
      </patternFill>
    </fill>
    <fill>
      <patternFill patternType="solid">
        <fgColor rgb="FF0A8A83"/>
      </patternFill>
    </fill>
    <fill>
      <patternFill patternType="solid">
        <fgColor rgb="FF2E7D32"/>
      </patternFill>
    </fill>
    <fill>
      <patternFill patternType="solid">
        <fgColor rgb="FF6A1B9A"/>
      </patternFill>
    </fill>
    <fill>
      <patternFill patternType="solid">
        <fgColor rgb="FFB26A00"/>
      </patternFill>
    </fill>
    <fill>
      <patternFill patternType="solid">
        <fgColor rgb="FFAD1457"/>
      </patternFill>
    </fill>
    <fill>
      <patternFill patternType="solid">
        <fgColor rgb="FF00695C"/>
      </patternFill>
    </fill>
    <fill>
      <patternFill patternType="solid">
        <fgColor rgb="FF0277BD"/>
      </patternFill>
    </fill>
    <fill>
      <patternFill patternType="solid">
        <fgColor rgb="FF0B1F3A"/>
      </patternFill>
    </fill>
    <fill>
      <patternFill patternType="solid">
        <fgColor rgb="FFDCE6F1"/>
      </patternFill>
    </fill>
    <fill>
      <patternFill patternType="solid">
        <fgColor rgb="FF455A64"/>
      </patternFill>
    </fill>
  </fills>
  <borders count="2">
    <border>
      <left/>
      <right/>
      <top/>
      <bottom/>
      <diagonal/>
    </border>
    <border>
      <left style="thin">
        <color rgb="FFD9DDE3"/>
      </left>
      <right style="thin">
        <color rgb="FFD9DDE3"/>
      </right>
      <top style="thin">
        <color rgb="FFD9DDE3"/>
      </top>
      <bottom style="thin">
        <color rgb="FFD9DDE3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5" borderId="0" xfId="0" applyFill="1"/>
    <xf numFmtId="0" fontId="5" fillId="3" borderId="0" xfId="0" applyFont="1" applyFill="1" applyAlignment="1">
      <alignment horizontal="center"/>
    </xf>
    <xf numFmtId="175" fontId="22" fillId="3" borderId="0" xfId="0" applyNumberFormat="1" applyFont="1" applyFill="1" applyAlignment="1">
      <alignment horizontal="center"/>
    </xf>
    <xf numFmtId="174" fontId="22" fillId="3" borderId="0" xfId="0" applyNumberFormat="1" applyFont="1" applyFill="1" applyAlignment="1">
      <alignment horizontal="center"/>
    </xf>
    <xf numFmtId="166" fontId="22" fillId="3" borderId="0" xfId="0" applyNumberFormat="1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174" fontId="30" fillId="13" borderId="0" xfId="0" applyNumberFormat="1" applyFont="1" applyFill="1" applyAlignment="1">
      <alignment horizontal="left" vertical="center"/>
    </xf>
    <xf numFmtId="166" fontId="30" fillId="1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7" fontId="6" fillId="13" borderId="0" xfId="0" applyNumberFormat="1" applyFont="1" applyFill="1" applyAlignment="1">
      <alignment horizontal="right" vertical="center"/>
    </xf>
    <xf numFmtId="166" fontId="6" fillId="13" borderId="0" xfId="0" applyNumberFormat="1" applyFont="1" applyFill="1" applyAlignment="1">
      <alignment horizontal="right" vertical="center"/>
    </xf>
    <xf numFmtId="176" fontId="6" fillId="1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7" fontId="7" fillId="13" borderId="0" xfId="0" applyNumberFormat="1" applyFont="1" applyFill="1" applyAlignment="1">
      <alignment horizontal="right" vertical="center"/>
    </xf>
    <xf numFmtId="174" fontId="7" fillId="13" borderId="0" xfId="0" applyNumberFormat="1" applyFont="1" applyFill="1" applyAlignment="1">
      <alignment horizontal="right" vertical="center"/>
    </xf>
    <xf numFmtId="166" fontId="7" fillId="13" borderId="0" xfId="0" applyNumberFormat="1" applyFont="1" applyFill="1" applyAlignment="1">
      <alignment horizontal="right" vertical="center"/>
    </xf>
    <xf numFmtId="3" fontId="7" fillId="13" borderId="0" xfId="0" applyNumberFormat="1" applyFont="1" applyFill="1" applyAlignment="1">
      <alignment horizontal="right" vertical="center"/>
    </xf>
    <xf numFmtId="0" fontId="7" fillId="13" borderId="0" xfId="0" applyFont="1" applyFill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10" fillId="0" borderId="0" xfId="0" applyFont="1" applyAlignment="1">
      <alignment horizontal="right"/>
    </xf>
    <xf numFmtId="167" fontId="6" fillId="13" borderId="0" xfId="0" applyNumberFormat="1" applyFont="1" applyFill="1" applyAlignment="1">
      <alignment horizontal="right"/>
    </xf>
    <xf numFmtId="3" fontId="6" fillId="13" borderId="0" xfId="0" applyNumberFormat="1" applyFont="1" applyFill="1" applyAlignment="1">
      <alignment horizontal="right"/>
    </xf>
    <xf numFmtId="166" fontId="6" fillId="13" borderId="0" xfId="0" applyNumberFormat="1" applyFont="1" applyFill="1" applyAlignment="1">
      <alignment horizontal="right"/>
    </xf>
    <xf numFmtId="174" fontId="6" fillId="13" borderId="0" xfId="0" applyNumberFormat="1" applyFont="1" applyFill="1" applyAlignment="1">
      <alignment horizontal="right"/>
    </xf>
    <xf numFmtId="0" fontId="26" fillId="3" borderId="0" xfId="0" applyFont="1" applyFill="1" applyAlignment="1">
      <alignment horizontal="center"/>
    </xf>
    <xf numFmtId="167" fontId="7" fillId="13" borderId="0" xfId="0" applyNumberFormat="1" applyFont="1" applyFill="1" applyAlignment="1">
      <alignment horizontal="right"/>
    </xf>
    <xf numFmtId="0" fontId="5" fillId="0" borderId="0" xfId="0" applyFont="1" applyAlignment="1">
      <alignment horizontal="left" vertical="center"/>
    </xf>
    <xf numFmtId="3" fontId="7" fillId="4" borderId="1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Border="1" applyAlignment="1">
      <alignment horizontal="right" vertical="center"/>
    </xf>
    <xf numFmtId="166" fontId="7" fillId="4" borderId="1" xfId="0" applyNumberFormat="1" applyFont="1" applyFill="1" applyBorder="1" applyAlignment="1">
      <alignment horizontal="right" vertical="center"/>
    </xf>
    <xf numFmtId="167" fontId="7" fillId="4" borderId="1" xfId="0" applyNumberFormat="1" applyFont="1" applyFill="1" applyBorder="1" applyAlignment="1">
      <alignment horizontal="right" vertical="center"/>
    </xf>
    <xf numFmtId="166" fontId="6" fillId="13" borderId="1" xfId="0" applyNumberFormat="1" applyFont="1" applyFill="1" applyBorder="1" applyAlignment="1">
      <alignment horizontal="right" vertical="center"/>
    </xf>
    <xf numFmtId="168" fontId="7" fillId="4" borderId="1" xfId="0" applyNumberFormat="1" applyFont="1" applyFill="1" applyBorder="1" applyAlignment="1">
      <alignment horizontal="right" vertical="center"/>
    </xf>
    <xf numFmtId="173" fontId="6" fillId="13" borderId="1" xfId="0" applyNumberFormat="1" applyFont="1" applyFill="1" applyBorder="1" applyAlignment="1">
      <alignment horizontal="right" vertical="center"/>
    </xf>
    <xf numFmtId="167" fontId="7" fillId="13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/>
    <xf numFmtId="165" fontId="3" fillId="4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center"/>
    </xf>
    <xf numFmtId="167" fontId="13" fillId="4" borderId="1" xfId="0" applyNumberFormat="1" applyFont="1" applyFill="1" applyBorder="1" applyAlignment="1">
      <alignment horizontal="center"/>
    </xf>
    <xf numFmtId="164" fontId="13" fillId="4" borderId="1" xfId="0" applyNumberFormat="1" applyFont="1" applyFill="1" applyBorder="1" applyAlignment="1">
      <alignment horizontal="center"/>
    </xf>
    <xf numFmtId="3" fontId="13" fillId="4" borderId="1" xfId="0" applyNumberFormat="1" applyFont="1" applyFill="1" applyBorder="1" applyAlignment="1">
      <alignment horizontal="center"/>
    </xf>
    <xf numFmtId="172" fontId="13" fillId="4" borderId="1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3" fontId="6" fillId="1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165" fontId="6" fillId="13" borderId="0" xfId="0" applyNumberFormat="1" applyFont="1" applyFill="1" applyAlignment="1">
      <alignment horizontal="right" vertical="center"/>
    </xf>
    <xf numFmtId="3" fontId="7" fillId="13" borderId="0" xfId="0" applyNumberFormat="1" applyFont="1" applyFill="1" applyAlignment="1">
      <alignment horizontal="right"/>
    </xf>
    <xf numFmtId="165" fontId="6" fillId="13" borderId="0" xfId="0" applyNumberFormat="1" applyFont="1" applyFill="1" applyAlignment="1">
      <alignment horizontal="right"/>
    </xf>
    <xf numFmtId="173" fontId="6" fillId="13" borderId="0" xfId="0" applyNumberFormat="1" applyFont="1" applyFill="1" applyAlignment="1">
      <alignment horizontal="right"/>
    </xf>
    <xf numFmtId="0" fontId="27" fillId="0" borderId="0" xfId="0" applyFont="1" applyAlignment="1">
      <alignment horizontal="left" vertical="center"/>
    </xf>
    <xf numFmtId="170" fontId="7" fillId="13" borderId="0" xfId="0" applyNumberFormat="1" applyFont="1" applyFill="1" applyAlignment="1">
      <alignment horizontal="center"/>
    </xf>
    <xf numFmtId="3" fontId="6" fillId="13" borderId="0" xfId="0" applyNumberFormat="1" applyFont="1" applyFill="1" applyAlignment="1">
      <alignment horizontal="center"/>
    </xf>
    <xf numFmtId="167" fontId="6" fillId="13" borderId="0" xfId="0" applyNumberFormat="1" applyFont="1" applyFill="1" applyAlignment="1">
      <alignment horizontal="center"/>
    </xf>
    <xf numFmtId="167" fontId="7" fillId="13" borderId="0" xfId="0" applyNumberFormat="1" applyFont="1" applyFill="1" applyAlignment="1">
      <alignment horizontal="center"/>
    </xf>
    <xf numFmtId="0" fontId="28" fillId="0" borderId="0" xfId="0" applyFont="1" applyAlignment="1">
      <alignment horizontal="left" vertical="center"/>
    </xf>
    <xf numFmtId="168" fontId="6" fillId="13" borderId="0" xfId="0" applyNumberFormat="1" applyFont="1" applyFill="1" applyAlignment="1">
      <alignment horizontal="right"/>
    </xf>
    <xf numFmtId="169" fontId="7" fillId="4" borderId="1" xfId="0" applyNumberFormat="1" applyFont="1" applyFill="1" applyBorder="1" applyAlignment="1">
      <alignment horizontal="right" vertical="center"/>
    </xf>
    <xf numFmtId="170" fontId="7" fillId="4" borderId="1" xfId="0" applyNumberFormat="1" applyFont="1" applyFill="1" applyBorder="1" applyAlignment="1">
      <alignment horizontal="right" vertical="center"/>
    </xf>
    <xf numFmtId="171" fontId="6" fillId="13" borderId="0" xfId="0" applyNumberFormat="1" applyFont="1" applyFill="1" applyAlignment="1">
      <alignment horizontal="right"/>
    </xf>
    <xf numFmtId="171" fontId="31" fillId="13" borderId="0" xfId="0" applyNumberFormat="1" applyFont="1" applyFill="1" applyAlignment="1">
      <alignment horizontal="right"/>
    </xf>
    <xf numFmtId="171" fontId="6" fillId="13" borderId="0" xfId="0" applyNumberFormat="1" applyFont="1" applyFill="1" applyAlignment="1">
      <alignment horizontal="right" vertical="center"/>
    </xf>
    <xf numFmtId="49" fontId="10" fillId="0" borderId="0" xfId="0" applyNumberFormat="1" applyFont="1" applyAlignment="1">
      <alignment horizontal="right"/>
    </xf>
    <xf numFmtId="3" fontId="7" fillId="13" borderId="0" xfId="0" applyNumberFormat="1" applyFont="1" applyFill="1" applyAlignment="1">
      <alignment horizontal="center"/>
    </xf>
    <xf numFmtId="167" fontId="10" fillId="0" borderId="0" xfId="0" applyNumberFormat="1" applyFont="1" applyAlignment="1">
      <alignment horizontal="right"/>
    </xf>
    <xf numFmtId="173" fontId="6" fillId="13" borderId="0" xfId="0" applyNumberFormat="1" applyFont="1" applyFill="1" applyAlignment="1">
      <alignment horizontal="right" vertical="center"/>
    </xf>
    <xf numFmtId="174" fontId="6" fillId="13" borderId="0" xfId="0" applyNumberFormat="1" applyFont="1" applyFill="1" applyAlignment="1">
      <alignment horizontal="right" vertical="center"/>
    </xf>
    <xf numFmtId="176" fontId="6" fillId="13" borderId="0" xfId="0" applyNumberFormat="1" applyFont="1" applyFill="1" applyAlignment="1">
      <alignment horizontal="right"/>
    </xf>
    <xf numFmtId="174" fontId="6" fillId="13" borderId="0" xfId="0" applyNumberFormat="1" applyFont="1" applyFill="1" applyAlignment="1">
      <alignment horizontal="center"/>
    </xf>
    <xf numFmtId="174" fontId="7" fillId="13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6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3" fontId="24" fillId="13" borderId="0" xfId="0" applyNumberFormat="1" applyFont="1" applyFill="1" applyAlignment="1">
      <alignment horizontal="right" vertical="center"/>
    </xf>
    <xf numFmtId="164" fontId="24" fillId="13" borderId="0" xfId="0" applyNumberFormat="1" applyFont="1" applyFill="1" applyAlignment="1">
      <alignment horizontal="right" vertical="center"/>
    </xf>
    <xf numFmtId="165" fontId="24" fillId="13" borderId="0" xfId="0" applyNumberFormat="1" applyFont="1" applyFill="1" applyAlignment="1">
      <alignment horizontal="right" vertical="center"/>
    </xf>
    <xf numFmtId="166" fontId="24" fillId="13" borderId="0" xfId="0" applyNumberFormat="1" applyFont="1" applyFill="1" applyAlignment="1">
      <alignment horizontal="right" vertical="center"/>
    </xf>
    <xf numFmtId="167" fontId="24" fillId="13" borderId="0" xfId="0" applyNumberFormat="1" applyFont="1" applyFill="1" applyAlignment="1">
      <alignment horizontal="right" vertical="center"/>
    </xf>
    <xf numFmtId="168" fontId="24" fillId="13" borderId="0" xfId="0" applyNumberFormat="1" applyFont="1" applyFill="1" applyAlignment="1">
      <alignment horizontal="right" vertical="center"/>
    </xf>
    <xf numFmtId="173" fontId="24" fillId="13" borderId="0" xfId="0" applyNumberFormat="1" applyFont="1" applyFill="1" applyAlignment="1">
      <alignment horizontal="right" vertical="center"/>
    </xf>
    <xf numFmtId="171" fontId="24" fillId="13" borderId="0" xfId="0" applyNumberFormat="1" applyFont="1" applyFill="1" applyAlignment="1">
      <alignment horizontal="right" vertical="center"/>
    </xf>
    <xf numFmtId="169" fontId="24" fillId="13" borderId="0" xfId="0" applyNumberFormat="1" applyFont="1" applyFill="1" applyAlignment="1">
      <alignment horizontal="right" vertical="center"/>
    </xf>
    <xf numFmtId="170" fontId="24" fillId="13" borderId="0" xfId="0" applyNumberFormat="1" applyFont="1" applyFill="1" applyAlignment="1">
      <alignment horizontal="right" vertical="center"/>
    </xf>
    <xf numFmtId="0" fontId="24" fillId="1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6" fillId="3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 indent="1"/>
    </xf>
    <xf numFmtId="0" fontId="6" fillId="0" borderId="0" xfId="0" applyFont="1"/>
    <xf numFmtId="0" fontId="18" fillId="5" borderId="0" xfId="0" applyFont="1" applyFill="1" applyAlignment="1">
      <alignment horizontal="left" vertical="center" indent="1"/>
    </xf>
    <xf numFmtId="0" fontId="24" fillId="0" borderId="0" xfId="0" applyFont="1"/>
    <xf numFmtId="0" fontId="20" fillId="5" borderId="0" xfId="0" applyFont="1" applyFill="1" applyAlignment="1">
      <alignment horizontal="left" vertical="center" indent="1"/>
    </xf>
    <xf numFmtId="0" fontId="19" fillId="5" borderId="0" xfId="0" applyFont="1" applyFill="1" applyAlignment="1">
      <alignment horizontal="left" vertical="center" indent="1"/>
    </xf>
    <xf numFmtId="0" fontId="2" fillId="0" borderId="0" xfId="0" applyFont="1"/>
    <xf numFmtId="0" fontId="23" fillId="0" borderId="0" xfId="0" applyFont="1"/>
    <xf numFmtId="0" fontId="17" fillId="12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left" vertical="center" indent="1"/>
    </xf>
    <xf numFmtId="0" fontId="21" fillId="5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1" fillId="6" borderId="0" xfId="0" applyFont="1" applyFill="1" applyAlignment="1">
      <alignment horizontal="left" vertical="center" indent="1"/>
    </xf>
    <xf numFmtId="0" fontId="1" fillId="7" borderId="0" xfId="0" applyFont="1" applyFill="1" applyAlignment="1">
      <alignment horizontal="left" vertical="center" indent="1"/>
    </xf>
    <xf numFmtId="0" fontId="1" fillId="8" borderId="0" xfId="0" applyFont="1" applyFill="1" applyAlignment="1">
      <alignment horizontal="left" vertical="center" indent="1"/>
    </xf>
    <xf numFmtId="0" fontId="1" fillId="9" borderId="0" xfId="0" applyFont="1" applyFill="1" applyAlignment="1">
      <alignment horizontal="left" vertical="center" indent="1"/>
    </xf>
    <xf numFmtId="0" fontId="1" fillId="10" borderId="0" xfId="0" applyFont="1" applyFill="1" applyAlignment="1">
      <alignment horizontal="left" vertical="center" indent="1"/>
    </xf>
    <xf numFmtId="0" fontId="7" fillId="13" borderId="0" xfId="0" applyFont="1" applyFill="1" applyAlignment="1">
      <alignment horizontal="left" vertical="center" indent="1"/>
    </xf>
    <xf numFmtId="0" fontId="8" fillId="0" borderId="0" xfId="0" applyFont="1" applyAlignment="1">
      <alignment horizontal="left" vertical="top" wrapText="1"/>
    </xf>
    <xf numFmtId="0" fontId="1" fillId="11" borderId="0" xfId="0" applyFont="1" applyFill="1" applyAlignment="1">
      <alignment horizontal="left" vertical="center" indent="1"/>
    </xf>
    <xf numFmtId="0" fontId="1" fillId="14" borderId="0" xfId="0" applyFont="1" applyFill="1" applyAlignment="1">
      <alignment horizontal="left" vertical="center" indent="1"/>
    </xf>
    <xf numFmtId="0" fontId="16" fillId="3" borderId="0" xfId="0" applyFont="1" applyFill="1" applyAlignment="1">
      <alignment horizontal="left" vertical="center" wrapText="1"/>
    </xf>
    <xf numFmtId="175" fontId="30" fillId="13" borderId="0" xfId="0" applyNumberFormat="1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167" fontId="6" fillId="13" borderId="0" xfId="0" applyNumberFormat="1" applyFont="1" applyFill="1" applyAlignment="1">
      <alignment horizontal="right" wrapText="1"/>
    </xf>
    <xf numFmtId="3" fontId="6" fillId="13" borderId="0" xfId="0" applyNumberFormat="1" applyFont="1" applyFill="1" applyAlignment="1">
      <alignment horizontal="right" wrapText="1"/>
    </xf>
    <xf numFmtId="166" fontId="6" fillId="13" borderId="0" xfId="0" applyNumberFormat="1" applyFont="1" applyFill="1" applyAlignment="1">
      <alignment horizontal="right" wrapText="1"/>
    </xf>
    <xf numFmtId="174" fontId="6" fillId="13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3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</cellXfs>
  <cellStyles count="1">
    <cellStyle name="Normal" xfId="0" builtinId="0"/>
  </cellStyles>
  <dxfs count="102"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ont>
        <b/>
        <color rgb="FF922B21"/>
      </font>
      <fill>
        <patternFill patternType="solid">
          <fgColor rgb="FFF5B7B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1E8449"/>
        </patternFill>
      </fill>
    </dxf>
    <dxf>
      <fill>
        <patternFill patternType="solid">
          <fgColor rgb="FFB9770E"/>
        </patternFill>
      </fill>
    </dxf>
    <dxf>
      <fill>
        <patternFill patternType="solid">
          <fgColor rgb="FFC0392B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Providers — testing period, then explode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'Proforma (monthly)'!$E$5</c:f>
              <c:strCache>
                <c:ptCount val="1"/>
                <c:pt idx="0">
                  <c:v>Providers</c:v>
                </c:pt>
              </c:strCache>
            </c:strRef>
          </c:tx>
          <c:spPr>
            <a:ln w="28575">
              <a:solidFill>
                <a:srgbClr val="0A8A83"/>
              </a:solidFill>
              <a:prstDash val="solid"/>
            </a:ln>
          </c:spPr>
          <c:marker>
            <c:symbol val="none"/>
          </c:marker>
          <c:cat>
            <c:numRef>
              <c:f>'Proforma (monthly)'!$A$6:$A$77</c:f>
              <c:numCache>
                <c:formatCode>General</c:formatCode>
                <c:ptCount val="7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</c:numCache>
            </c:numRef>
          </c:cat>
          <c:val>
            <c:numRef>
              <c:f>'Proforma (monthly)'!$E$6:$E$77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5</c:v>
                </c:pt>
                <c:pt idx="12">
                  <c:v>7</c:v>
                </c:pt>
                <c:pt idx="13">
                  <c:v>10</c:v>
                </c:pt>
                <c:pt idx="14">
                  <c:v>12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  <c:pt idx="20">
                  <c:v>21</c:v>
                </c:pt>
                <c:pt idx="21">
                  <c:v>23</c:v>
                </c:pt>
                <c:pt idx="22">
                  <c:v>25</c:v>
                </c:pt>
                <c:pt idx="23">
                  <c:v>27</c:v>
                </c:pt>
                <c:pt idx="24">
                  <c:v>29</c:v>
                </c:pt>
                <c:pt idx="25">
                  <c:v>31</c:v>
                </c:pt>
                <c:pt idx="26">
                  <c:v>33</c:v>
                </c:pt>
                <c:pt idx="27">
                  <c:v>35</c:v>
                </c:pt>
                <c:pt idx="28">
                  <c:v>38</c:v>
                </c:pt>
                <c:pt idx="29">
                  <c:v>41</c:v>
                </c:pt>
                <c:pt idx="30">
                  <c:v>44</c:v>
                </c:pt>
                <c:pt idx="31">
                  <c:v>47</c:v>
                </c:pt>
                <c:pt idx="32">
                  <c:v>51</c:v>
                </c:pt>
                <c:pt idx="33">
                  <c:v>55</c:v>
                </c:pt>
                <c:pt idx="34">
                  <c:v>59</c:v>
                </c:pt>
                <c:pt idx="35">
                  <c:v>63</c:v>
                </c:pt>
                <c:pt idx="36">
                  <c:v>68</c:v>
                </c:pt>
                <c:pt idx="37">
                  <c:v>73</c:v>
                </c:pt>
                <c:pt idx="38">
                  <c:v>79</c:v>
                </c:pt>
                <c:pt idx="39">
                  <c:v>85</c:v>
                </c:pt>
                <c:pt idx="40">
                  <c:v>91</c:v>
                </c:pt>
                <c:pt idx="41">
                  <c:v>98</c:v>
                </c:pt>
                <c:pt idx="42">
                  <c:v>105</c:v>
                </c:pt>
                <c:pt idx="43">
                  <c:v>113</c:v>
                </c:pt>
                <c:pt idx="44">
                  <c:v>122</c:v>
                </c:pt>
                <c:pt idx="45">
                  <c:v>131</c:v>
                </c:pt>
                <c:pt idx="46">
                  <c:v>141</c:v>
                </c:pt>
                <c:pt idx="47">
                  <c:v>152</c:v>
                </c:pt>
                <c:pt idx="48">
                  <c:v>163</c:v>
                </c:pt>
                <c:pt idx="49">
                  <c:v>175</c:v>
                </c:pt>
                <c:pt idx="50">
                  <c:v>188</c:v>
                </c:pt>
                <c:pt idx="51">
                  <c:v>203</c:v>
                </c:pt>
                <c:pt idx="52">
                  <c:v>218</c:v>
                </c:pt>
                <c:pt idx="53">
                  <c:v>234</c:v>
                </c:pt>
                <c:pt idx="54">
                  <c:v>252</c:v>
                </c:pt>
                <c:pt idx="55">
                  <c:v>271</c:v>
                </c:pt>
                <c:pt idx="56">
                  <c:v>291</c:v>
                </c:pt>
                <c:pt idx="57">
                  <c:v>313</c:v>
                </c:pt>
                <c:pt idx="58">
                  <c:v>337</c:v>
                </c:pt>
                <c:pt idx="59">
                  <c:v>362</c:v>
                </c:pt>
                <c:pt idx="60">
                  <c:v>389</c:v>
                </c:pt>
                <c:pt idx="61">
                  <c:v>419</c:v>
                </c:pt>
                <c:pt idx="62">
                  <c:v>450</c:v>
                </c:pt>
                <c:pt idx="63">
                  <c:v>484</c:v>
                </c:pt>
                <c:pt idx="64">
                  <c:v>521</c:v>
                </c:pt>
                <c:pt idx="65">
                  <c:v>560</c:v>
                </c:pt>
                <c:pt idx="66">
                  <c:v>602</c:v>
                </c:pt>
                <c:pt idx="67">
                  <c:v>647</c:v>
                </c:pt>
                <c:pt idx="68">
                  <c:v>696</c:v>
                </c:pt>
                <c:pt idx="69">
                  <c:v>749</c:v>
                </c:pt>
                <c:pt idx="70">
                  <c:v>805</c:v>
                </c:pt>
                <c:pt idx="71">
                  <c:v>866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B01-4EFF-BA16-4F5586088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Physician collections / yr — efficiency ramp (op-yr 1 to 6)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Collections!$A$8</c:f>
              <c:strCache>
                <c:ptCount val="1"/>
                <c:pt idx="0">
                  <c:v>Collected $ / physician / yr (gross)</c:v>
                </c:pt>
              </c:strCache>
            </c:strRef>
          </c:tx>
          <c:spPr>
            <a:ln w="28575">
              <a:solidFill>
                <a:srgbClr val="2E7D32"/>
              </a:solidFill>
              <a:prstDash val="solid"/>
            </a:ln>
          </c:spPr>
          <c:marker>
            <c:symbol val="none"/>
          </c:marker>
          <c:cat>
            <c:strRef>
              <c:f>Collections!$B$4:$G$4</c:f>
              <c:strCache>
                <c:ptCount val="6"/>
                <c:pt idx="0">
                  <c:v>Op-yr 1</c:v>
                </c:pt>
                <c:pt idx="1">
                  <c:v>Op-yr 2</c:v>
                </c:pt>
                <c:pt idx="2">
                  <c:v>Op-yr 3</c:v>
                </c:pt>
                <c:pt idx="3">
                  <c:v>Op-yr 4</c:v>
                </c:pt>
                <c:pt idx="4">
                  <c:v>Op-yr 5</c:v>
                </c:pt>
                <c:pt idx="5">
                  <c:v>Op-yr 6</c:v>
                </c:pt>
              </c:strCache>
            </c:strRef>
          </c:cat>
          <c:val>
            <c:numRef>
              <c:f>Collections!$B$8:$G$8</c:f>
              <c:numCache>
                <c:formatCode>\$#,##0</c:formatCode>
                <c:ptCount val="6"/>
                <c:pt idx="0">
                  <c:v>765000</c:v>
                </c:pt>
                <c:pt idx="1">
                  <c:v>867000</c:v>
                </c:pt>
                <c:pt idx="2">
                  <c:v>969000</c:v>
                </c:pt>
                <c:pt idx="3">
                  <c:v>1071000</c:v>
                </c:pt>
                <c:pt idx="4">
                  <c:v>1071000</c:v>
                </c:pt>
                <c:pt idx="5">
                  <c:v>1071000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C-45F9-9237-068969DCF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numFmt formatCode="\$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2</xdr:row>
      <xdr:rowOff>0</xdr:rowOff>
    </xdr:from>
    <xdr:ext cx="72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64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A8A83"/>
  </sheetPr>
  <dimension ref="A1:F22"/>
  <sheetViews>
    <sheetView showGridLines="0" workbookViewId="0"/>
  </sheetViews>
  <sheetFormatPr defaultRowHeight="15" x14ac:dyDescent="0.25"/>
  <cols>
    <col min="1" max="1" width="5.7109375" customWidth="1"/>
    <col min="2" max="2" width="17.140625" bestFit="1" customWidth="1"/>
    <col min="3" max="3" width="11" bestFit="1" customWidth="1"/>
    <col min="4" max="4" width="12.140625" bestFit="1" customWidth="1"/>
    <col min="5" max="5" width="22" customWidth="1"/>
    <col min="6" max="6" width="5.7109375" customWidth="1"/>
  </cols>
  <sheetData>
    <row r="1" spans="1:6" ht="9.9499999999999993" customHeight="1" x14ac:dyDescent="0.25">
      <c r="A1" s="1"/>
      <c r="B1" s="1"/>
      <c r="C1" s="1"/>
      <c r="D1" s="1"/>
      <c r="E1" s="1"/>
      <c r="F1" s="1"/>
    </row>
    <row r="2" spans="1:6" ht="20.100000000000001" customHeight="1" x14ac:dyDescent="0.25">
      <c r="A2" s="1"/>
      <c r="B2" s="106" t="s">
        <v>18</v>
      </c>
      <c r="C2" s="100" t="s">
        <v>19</v>
      </c>
      <c r="D2" s="96"/>
      <c r="E2" s="96"/>
      <c r="F2" s="1"/>
    </row>
    <row r="3" spans="1:6" ht="20.100000000000001" customHeight="1" x14ac:dyDescent="0.25">
      <c r="A3" s="1"/>
      <c r="B3" s="96"/>
      <c r="C3" s="96"/>
      <c r="D3" s="96"/>
      <c r="E3" s="96"/>
      <c r="F3" s="1"/>
    </row>
    <row r="4" spans="1:6" ht="20.100000000000001" customHeight="1" x14ac:dyDescent="0.25">
      <c r="A4" s="1"/>
      <c r="B4" s="96"/>
      <c r="C4" s="103" t="s">
        <v>20</v>
      </c>
      <c r="D4" s="96"/>
      <c r="E4" s="96"/>
      <c r="F4" s="1"/>
    </row>
    <row r="5" spans="1:6" ht="20.100000000000001" customHeight="1" x14ac:dyDescent="0.25">
      <c r="A5" s="1"/>
      <c r="B5" s="96"/>
      <c r="C5" s="102" t="s">
        <v>21</v>
      </c>
      <c r="D5" s="96"/>
      <c r="E5" s="96"/>
      <c r="F5" s="1"/>
    </row>
    <row r="6" spans="1:6" ht="20.100000000000001" customHeight="1" x14ac:dyDescent="0.25">
      <c r="A6" s="1"/>
      <c r="B6" s="1"/>
      <c r="C6" s="108" t="s">
        <v>22</v>
      </c>
      <c r="D6" s="96"/>
      <c r="E6" s="96"/>
      <c r="F6" s="1"/>
    </row>
    <row r="7" spans="1:6" ht="12" customHeight="1" x14ac:dyDescent="0.25">
      <c r="A7" s="1"/>
      <c r="B7" s="1"/>
      <c r="C7" s="1"/>
      <c r="D7" s="1"/>
      <c r="E7" s="1"/>
      <c r="F7" s="1"/>
    </row>
    <row r="9" spans="1:6" ht="9.9499999999999993" customHeight="1" x14ac:dyDescent="0.25"/>
    <row r="10" spans="1:6" x14ac:dyDescent="0.25">
      <c r="B10" s="2" t="s">
        <v>23</v>
      </c>
      <c r="C10" s="2" t="s">
        <v>3</v>
      </c>
      <c r="D10" s="2" t="s">
        <v>4</v>
      </c>
    </row>
    <row r="11" spans="1:6" ht="32.1" customHeight="1" x14ac:dyDescent="0.45">
      <c r="B11" s="3">
        <f>Returns!B13</f>
        <v>101797470.37200001</v>
      </c>
      <c r="C11" s="4">
        <f>Returns!B14</f>
        <v>25.449367593000002</v>
      </c>
      <c r="D11" s="5">
        <f>Returns!B16</f>
        <v>0.71506071492798262</v>
      </c>
    </row>
    <row r="12" spans="1:6" x14ac:dyDescent="0.25">
      <c r="B12" s="6" t="s">
        <v>24</v>
      </c>
      <c r="C12" s="6" t="s">
        <v>25</v>
      </c>
      <c r="D12" s="6" t="s">
        <v>26</v>
      </c>
    </row>
    <row r="14" spans="1:6" ht="17.25" x14ac:dyDescent="0.3">
      <c r="B14" s="105" t="s">
        <v>27</v>
      </c>
      <c r="C14" s="96"/>
      <c r="D14" s="96"/>
      <c r="E14" s="96"/>
    </row>
    <row r="15" spans="1:6" x14ac:dyDescent="0.25">
      <c r="B15" s="7" t="s">
        <v>28</v>
      </c>
      <c r="C15" s="99" t="s">
        <v>29</v>
      </c>
      <c r="D15" s="96"/>
      <c r="E15" s="96"/>
    </row>
    <row r="16" spans="1:6" x14ac:dyDescent="0.25">
      <c r="B16" s="8" t="s">
        <v>30</v>
      </c>
      <c r="C16" s="99" t="s">
        <v>31</v>
      </c>
      <c r="D16" s="96"/>
      <c r="E16" s="96"/>
    </row>
    <row r="18" spans="1:6" x14ac:dyDescent="0.25">
      <c r="B18" s="101" t="s">
        <v>32</v>
      </c>
      <c r="C18" s="96"/>
      <c r="D18" s="96"/>
      <c r="E18" s="96"/>
    </row>
    <row r="19" spans="1:6" x14ac:dyDescent="0.25">
      <c r="B19" s="104" t="s">
        <v>33</v>
      </c>
      <c r="C19" s="96"/>
      <c r="D19" s="96"/>
      <c r="E19" s="96"/>
    </row>
    <row r="22" spans="1:6" ht="21.95" customHeight="1" x14ac:dyDescent="0.25">
      <c r="A22" s="1"/>
      <c r="B22" s="107" t="s">
        <v>34</v>
      </c>
      <c r="C22" s="96"/>
      <c r="D22" s="96"/>
      <c r="E22" s="96"/>
      <c r="F22" s="1"/>
    </row>
  </sheetData>
  <mergeCells count="11">
    <mergeCell ref="B19:E19"/>
    <mergeCell ref="B14:E14"/>
    <mergeCell ref="B2:B5"/>
    <mergeCell ref="C15:E15"/>
    <mergeCell ref="B22:E22"/>
    <mergeCell ref="C6:E6"/>
    <mergeCell ref="C16:E16"/>
    <mergeCell ref="C2:E3"/>
    <mergeCell ref="B18:E18"/>
    <mergeCell ref="C5:E5"/>
    <mergeCell ref="C4:E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4A017"/>
  </sheetPr>
  <dimension ref="A1:D16"/>
  <sheetViews>
    <sheetView showGridLines="0" workbookViewId="0"/>
  </sheetViews>
  <sheetFormatPr defaultRowHeight="15" x14ac:dyDescent="0.25"/>
  <cols>
    <col min="1" max="1" width="36.5703125" bestFit="1" customWidth="1"/>
    <col min="2" max="2" width="19" bestFit="1" customWidth="1"/>
    <col min="3" max="3" width="6.5703125" bestFit="1" customWidth="1"/>
    <col min="4" max="4" width="64.7109375" style="125" customWidth="1"/>
  </cols>
  <sheetData>
    <row r="1" spans="1:4" ht="21" x14ac:dyDescent="0.25">
      <c r="A1" s="111" t="s">
        <v>156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157</v>
      </c>
      <c r="B5" s="34">
        <v>10</v>
      </c>
      <c r="C5" s="17" t="s">
        <v>158</v>
      </c>
      <c r="D5" s="124" t="s">
        <v>159</v>
      </c>
    </row>
    <row r="6" spans="1:4" x14ac:dyDescent="0.25">
      <c r="A6" s="13" t="s">
        <v>160</v>
      </c>
      <c r="B6" s="34">
        <v>6</v>
      </c>
      <c r="C6" s="17" t="s">
        <v>158</v>
      </c>
      <c r="D6" s="124" t="s">
        <v>161</v>
      </c>
    </row>
    <row r="7" spans="1:4" x14ac:dyDescent="0.25">
      <c r="A7" s="13" t="s">
        <v>162</v>
      </c>
      <c r="B7" s="38">
        <v>4000000</v>
      </c>
      <c r="C7" s="17" t="s">
        <v>122</v>
      </c>
      <c r="D7" s="124" t="s">
        <v>163</v>
      </c>
    </row>
    <row r="8" spans="1:4" x14ac:dyDescent="0.25">
      <c r="A8" s="13" t="s">
        <v>164</v>
      </c>
      <c r="B8" s="38">
        <v>300000</v>
      </c>
      <c r="C8" s="17" t="s">
        <v>122</v>
      </c>
      <c r="D8" s="124" t="s">
        <v>165</v>
      </c>
    </row>
    <row r="9" spans="1:4" x14ac:dyDescent="0.25">
      <c r="A9" s="13" t="s">
        <v>166</v>
      </c>
      <c r="B9" s="38">
        <v>16000000</v>
      </c>
      <c r="C9" s="17" t="s">
        <v>122</v>
      </c>
      <c r="D9" s="124" t="s">
        <v>167</v>
      </c>
    </row>
    <row r="10" spans="1:4" ht="25.5" x14ac:dyDescent="0.25">
      <c r="A10" s="13" t="s">
        <v>168</v>
      </c>
      <c r="B10" s="39">
        <f>B7/(B9+B7)</f>
        <v>0.2</v>
      </c>
      <c r="C10" s="17" t="s">
        <v>133</v>
      </c>
      <c r="D10" s="124" t="s">
        <v>169</v>
      </c>
    </row>
    <row r="11" spans="1:4" ht="25.5" x14ac:dyDescent="0.25">
      <c r="A11" s="13" t="s">
        <v>170</v>
      </c>
      <c r="B11" s="36">
        <v>1</v>
      </c>
      <c r="C11" s="17" t="s">
        <v>105</v>
      </c>
      <c r="D11" s="124" t="s">
        <v>171</v>
      </c>
    </row>
    <row r="12" spans="1:4" ht="25.5" x14ac:dyDescent="0.25">
      <c r="A12" s="13" t="s">
        <v>172</v>
      </c>
      <c r="B12" s="40">
        <v>0</v>
      </c>
      <c r="C12" s="17" t="s">
        <v>122</v>
      </c>
      <c r="D12" s="124" t="s">
        <v>173</v>
      </c>
    </row>
    <row r="13" spans="1:4" x14ac:dyDescent="0.25">
      <c r="A13" s="13" t="s">
        <v>174</v>
      </c>
      <c r="B13" s="34">
        <v>30</v>
      </c>
      <c r="C13" s="17" t="s">
        <v>175</v>
      </c>
      <c r="D13" s="124" t="s">
        <v>176</v>
      </c>
    </row>
    <row r="14" spans="1:4" x14ac:dyDescent="0.25">
      <c r="A14" s="13" t="s">
        <v>177</v>
      </c>
      <c r="B14" s="41">
        <f>'Proforma (monthly)'!A77/12</f>
        <v>6</v>
      </c>
      <c r="C14" s="17" t="s">
        <v>146</v>
      </c>
      <c r="D14" s="124" t="s">
        <v>178</v>
      </c>
    </row>
    <row r="15" spans="1:4" x14ac:dyDescent="0.25">
      <c r="A15" s="13" t="s">
        <v>179</v>
      </c>
      <c r="B15" s="34">
        <v>40</v>
      </c>
      <c r="C15" s="17" t="s">
        <v>180</v>
      </c>
      <c r="D15" s="124" t="s">
        <v>181</v>
      </c>
    </row>
    <row r="16" spans="1:4" x14ac:dyDescent="0.25">
      <c r="A16" s="13" t="s">
        <v>182</v>
      </c>
      <c r="B16" s="37">
        <v>0.21</v>
      </c>
      <c r="C16" s="17" t="s">
        <v>133</v>
      </c>
      <c r="D16" s="124" t="s">
        <v>183</v>
      </c>
    </row>
  </sheetData>
  <mergeCells count="2">
    <mergeCell ref="A1:D1"/>
    <mergeCell ref="A2:D2"/>
  </mergeCells>
  <conditionalFormatting sqref="A1:D16">
    <cfRule type="expression" dxfId="85" priority="1">
      <formula>_xludf.ISFORMULA(A1)</formula>
    </cfRule>
    <cfRule type="expression" dxfId="84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D4A017"/>
  </sheetPr>
  <dimension ref="A1:D15"/>
  <sheetViews>
    <sheetView showGridLines="0" workbookViewId="0"/>
  </sheetViews>
  <sheetFormatPr defaultRowHeight="15" x14ac:dyDescent="0.25"/>
  <cols>
    <col min="1" max="1" width="61.85546875" bestFit="1" customWidth="1"/>
    <col min="2" max="2" width="19" bestFit="1" customWidth="1"/>
    <col min="3" max="3" width="9.5703125" bestFit="1" customWidth="1"/>
    <col min="4" max="4" width="64.7109375" style="125" customWidth="1"/>
  </cols>
  <sheetData>
    <row r="1" spans="1:4" ht="21" x14ac:dyDescent="0.25">
      <c r="A1" s="112" t="s">
        <v>184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ht="25.5" x14ac:dyDescent="0.25">
      <c r="A5" s="13" t="s">
        <v>185</v>
      </c>
      <c r="B5" s="38">
        <v>8000</v>
      </c>
      <c r="C5" s="17" t="s">
        <v>186</v>
      </c>
      <c r="D5" s="124" t="s">
        <v>187</v>
      </c>
    </row>
    <row r="6" spans="1:4" ht="25.5" x14ac:dyDescent="0.25">
      <c r="A6" s="13" t="s">
        <v>188</v>
      </c>
      <c r="B6" s="38">
        <v>5500</v>
      </c>
      <c r="C6" s="17" t="s">
        <v>186</v>
      </c>
      <c r="D6" s="124" t="s">
        <v>189</v>
      </c>
    </row>
    <row r="7" spans="1:4" ht="38.25" x14ac:dyDescent="0.25">
      <c r="A7" s="13" t="s">
        <v>190</v>
      </c>
      <c r="B7" s="38">
        <v>4000</v>
      </c>
      <c r="C7" s="17" t="s">
        <v>186</v>
      </c>
      <c r="D7" s="124" t="s">
        <v>191</v>
      </c>
    </row>
    <row r="8" spans="1:4" x14ac:dyDescent="0.25">
      <c r="A8" s="13" t="s">
        <v>192</v>
      </c>
      <c r="B8" s="34">
        <v>3</v>
      </c>
      <c r="C8" s="17" t="s">
        <v>146</v>
      </c>
      <c r="D8" s="124" t="s">
        <v>193</v>
      </c>
    </row>
    <row r="9" spans="1:4" ht="25.5" x14ac:dyDescent="0.25">
      <c r="A9" s="13" t="s">
        <v>194</v>
      </c>
      <c r="B9" s="38">
        <v>4500</v>
      </c>
      <c r="C9" s="17" t="s">
        <v>186</v>
      </c>
      <c r="D9" s="124" t="s">
        <v>195</v>
      </c>
    </row>
    <row r="10" spans="1:4" x14ac:dyDescent="0.25">
      <c r="A10" s="13" t="s">
        <v>196</v>
      </c>
      <c r="B10" s="38">
        <v>2500</v>
      </c>
      <c r="C10" s="17" t="s">
        <v>186</v>
      </c>
      <c r="D10" s="124" t="s">
        <v>197</v>
      </c>
    </row>
    <row r="11" spans="1:4" ht="25.5" x14ac:dyDescent="0.25">
      <c r="A11" s="13" t="s">
        <v>198</v>
      </c>
      <c r="B11" s="40">
        <v>0</v>
      </c>
      <c r="C11" s="17" t="s">
        <v>199</v>
      </c>
      <c r="D11" s="124" t="s">
        <v>200</v>
      </c>
    </row>
    <row r="12" spans="1:4" ht="25.5" x14ac:dyDescent="0.25">
      <c r="A12" s="13" t="s">
        <v>201</v>
      </c>
      <c r="B12" s="40">
        <v>0</v>
      </c>
      <c r="C12" s="17" t="s">
        <v>186</v>
      </c>
      <c r="D12" s="124" t="s">
        <v>202</v>
      </c>
    </row>
    <row r="13" spans="1:4" x14ac:dyDescent="0.25">
      <c r="A13" s="13" t="s">
        <v>203</v>
      </c>
      <c r="B13" s="37">
        <v>0.4667</v>
      </c>
      <c r="C13" s="17" t="s">
        <v>133</v>
      </c>
      <c r="D13" s="124" t="s">
        <v>204</v>
      </c>
    </row>
    <row r="15" spans="1:4" x14ac:dyDescent="0.25">
      <c r="A15" s="18" t="s">
        <v>205</v>
      </c>
      <c r="B15" s="42">
        <f>B5+B6+B7+B9+B10+B12</f>
        <v>24500</v>
      </c>
    </row>
  </sheetData>
  <mergeCells count="2">
    <mergeCell ref="A1:D1"/>
    <mergeCell ref="A2:D2"/>
  </mergeCells>
  <conditionalFormatting sqref="A1:D15">
    <cfRule type="expression" dxfId="83" priority="1">
      <formula>_xludf.ISFORMULA(A1)</formula>
    </cfRule>
    <cfRule type="expression" dxfId="82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D4A017"/>
  </sheetPr>
  <dimension ref="A1:D10"/>
  <sheetViews>
    <sheetView showGridLines="0" workbookViewId="0"/>
  </sheetViews>
  <sheetFormatPr defaultRowHeight="15" x14ac:dyDescent="0.25"/>
  <cols>
    <col min="1" max="1" width="37.7109375" bestFit="1" customWidth="1"/>
    <col min="2" max="2" width="19" bestFit="1" customWidth="1"/>
    <col min="3" max="3" width="14.7109375" bestFit="1" customWidth="1"/>
    <col min="4" max="4" width="64.7109375" style="125" customWidth="1"/>
  </cols>
  <sheetData>
    <row r="1" spans="1:4" ht="21" x14ac:dyDescent="0.25">
      <c r="A1" s="113" t="s">
        <v>206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207</v>
      </c>
      <c r="B5" s="40">
        <v>0.45</v>
      </c>
      <c r="C5" s="17" t="s">
        <v>208</v>
      </c>
      <c r="D5" s="124" t="s">
        <v>209</v>
      </c>
    </row>
    <row r="6" spans="1:4" x14ac:dyDescent="0.25">
      <c r="A6" s="13" t="s">
        <v>210</v>
      </c>
      <c r="B6" s="35">
        <v>1.05</v>
      </c>
      <c r="C6" s="17" t="s">
        <v>211</v>
      </c>
      <c r="D6" s="124" t="s">
        <v>212</v>
      </c>
    </row>
    <row r="7" spans="1:4" x14ac:dyDescent="0.25">
      <c r="A7" s="13" t="s">
        <v>213</v>
      </c>
      <c r="B7" s="40">
        <v>0.12</v>
      </c>
      <c r="C7" s="17" t="s">
        <v>152</v>
      </c>
      <c r="D7" s="124" t="s">
        <v>214</v>
      </c>
    </row>
    <row r="8" spans="1:4" ht="38.25" x14ac:dyDescent="0.25">
      <c r="A8" s="13" t="s">
        <v>215</v>
      </c>
      <c r="B8" s="37">
        <v>0</v>
      </c>
      <c r="C8" s="17" t="s">
        <v>133</v>
      </c>
      <c r="D8" s="124" t="s">
        <v>216</v>
      </c>
    </row>
    <row r="9" spans="1:4" x14ac:dyDescent="0.25">
      <c r="A9" s="13" t="s">
        <v>217</v>
      </c>
      <c r="B9" s="38">
        <v>300</v>
      </c>
      <c r="C9" s="17" t="s">
        <v>218</v>
      </c>
      <c r="D9" s="124" t="s">
        <v>219</v>
      </c>
    </row>
    <row r="10" spans="1:4" x14ac:dyDescent="0.25">
      <c r="A10" s="13" t="s">
        <v>220</v>
      </c>
      <c r="B10" s="38">
        <v>50000</v>
      </c>
      <c r="C10" s="17" t="s">
        <v>221</v>
      </c>
      <c r="D10" s="124" t="s">
        <v>222</v>
      </c>
    </row>
  </sheetData>
  <mergeCells count="2">
    <mergeCell ref="A1:D1"/>
    <mergeCell ref="A2:D2"/>
  </mergeCells>
  <conditionalFormatting sqref="A1:D10">
    <cfRule type="expression" dxfId="81" priority="1">
      <formula>_xludf.ISFORMULA(A1)</formula>
    </cfRule>
    <cfRule type="expression" dxfId="80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D4A017"/>
  </sheetPr>
  <dimension ref="A1:D7"/>
  <sheetViews>
    <sheetView showGridLines="0" workbookViewId="0"/>
  </sheetViews>
  <sheetFormatPr defaultRowHeight="15" x14ac:dyDescent="0.25"/>
  <cols>
    <col min="1" max="1" width="47.85546875" bestFit="1" customWidth="1"/>
    <col min="2" max="2" width="22.28515625" bestFit="1" customWidth="1"/>
    <col min="3" max="3" width="7.28515625" bestFit="1" customWidth="1"/>
    <col min="4" max="4" width="64.7109375" style="125" customWidth="1"/>
  </cols>
  <sheetData>
    <row r="1" spans="1:4" ht="21" x14ac:dyDescent="0.25">
      <c r="A1" s="114" t="s">
        <v>223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ht="25.5" x14ac:dyDescent="0.25">
      <c r="A5" s="13" t="s">
        <v>224</v>
      </c>
      <c r="B5" s="34">
        <v>10</v>
      </c>
      <c r="C5" s="17" t="s">
        <v>99</v>
      </c>
      <c r="D5" s="124" t="s">
        <v>225</v>
      </c>
    </row>
    <row r="6" spans="1:4" x14ac:dyDescent="0.25">
      <c r="A6" s="13" t="s">
        <v>226</v>
      </c>
      <c r="B6" s="36">
        <v>1.2</v>
      </c>
      <c r="C6" s="17" t="s">
        <v>105</v>
      </c>
      <c r="D6" s="124" t="s">
        <v>227</v>
      </c>
    </row>
    <row r="7" spans="1:4" x14ac:dyDescent="0.25">
      <c r="A7" s="13" t="s">
        <v>228</v>
      </c>
      <c r="B7" s="43" t="s">
        <v>229</v>
      </c>
      <c r="C7" s="17" t="s">
        <v>230</v>
      </c>
      <c r="D7" s="124" t="s">
        <v>231</v>
      </c>
    </row>
  </sheetData>
  <mergeCells count="2">
    <mergeCell ref="A1:D1"/>
    <mergeCell ref="A2:D2"/>
  </mergeCells>
  <conditionalFormatting sqref="A1:D7">
    <cfRule type="expression" dxfId="79" priority="1">
      <formula>_xludf.ISFORMULA(A1)</formula>
    </cfRule>
    <cfRule type="expression" dxfId="78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2E7D32"/>
  </sheetPr>
  <dimension ref="A1:S93"/>
  <sheetViews>
    <sheetView showGridLines="0" workbookViewId="0"/>
  </sheetViews>
  <sheetFormatPr defaultRowHeight="15" x14ac:dyDescent="0.25"/>
  <cols>
    <col min="1" max="1" width="25.5703125" bestFit="1" customWidth="1"/>
    <col min="2" max="2" width="19" bestFit="1" customWidth="1"/>
    <col min="3" max="3" width="11" bestFit="1" customWidth="1"/>
    <col min="4" max="4" width="8.5703125" bestFit="1" customWidth="1"/>
    <col min="5" max="5" width="8.85546875" bestFit="1" customWidth="1"/>
    <col min="6" max="6" width="11.85546875" bestFit="1" customWidth="1"/>
    <col min="7" max="8" width="6.28515625" bestFit="1" customWidth="1"/>
    <col min="9" max="10" width="6.7109375" bestFit="1" customWidth="1"/>
    <col min="11" max="11" width="25.85546875" bestFit="1" customWidth="1"/>
    <col min="12" max="15" width="5.7109375" customWidth="1"/>
    <col min="16" max="16" width="6.7109375" bestFit="1" customWidth="1"/>
    <col min="17" max="17" width="8.7109375" bestFit="1" customWidth="1"/>
    <col min="18" max="18" width="8.5703125" bestFit="1" customWidth="1"/>
    <col min="19" max="19" width="5.7109375" customWidth="1"/>
    <col min="20" max="21" width="7" customWidth="1"/>
    <col min="22" max="23" width="9" customWidth="1"/>
    <col min="24" max="25" width="13" customWidth="1"/>
    <col min="26" max="26" width="11" customWidth="1"/>
  </cols>
  <sheetData>
    <row r="1" spans="1:19" ht="30" customHeight="1" x14ac:dyDescent="0.25">
      <c r="A1" s="114" t="s">
        <v>232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8" customHeight="1" x14ac:dyDescent="0.25">
      <c r="A2" s="95" t="s">
        <v>233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x14ac:dyDescent="0.25">
      <c r="A3" s="24" t="s">
        <v>45</v>
      </c>
      <c r="B3" s="25" t="s">
        <v>46</v>
      </c>
      <c r="K3" s="33" t="s">
        <v>234</v>
      </c>
      <c r="L3" s="44">
        <v>1.34</v>
      </c>
      <c r="M3" s="44">
        <v>1.21</v>
      </c>
      <c r="N3" s="44">
        <v>1.06</v>
      </c>
      <c r="O3" s="44">
        <v>1</v>
      </c>
      <c r="P3" s="44">
        <v>0.94</v>
      </c>
    </row>
    <row r="5" spans="1:19" x14ac:dyDescent="0.25">
      <c r="A5" s="2" t="s">
        <v>235</v>
      </c>
      <c r="B5" s="2" t="s">
        <v>236</v>
      </c>
      <c r="C5" s="2" t="s">
        <v>237</v>
      </c>
      <c r="D5" s="2" t="s">
        <v>238</v>
      </c>
      <c r="E5" s="2" t="s">
        <v>239</v>
      </c>
      <c r="F5" s="2" t="s">
        <v>240</v>
      </c>
      <c r="G5" s="2" t="s">
        <v>241</v>
      </c>
      <c r="H5" s="2" t="s">
        <v>242</v>
      </c>
      <c r="I5" s="2" t="s">
        <v>243</v>
      </c>
    </row>
    <row r="6" spans="1:19" x14ac:dyDescent="0.25">
      <c r="A6" s="13" t="s">
        <v>244</v>
      </c>
      <c r="B6" s="45" t="s">
        <v>245</v>
      </c>
      <c r="C6" s="45" t="s">
        <v>246</v>
      </c>
      <c r="D6" s="46">
        <v>200000</v>
      </c>
      <c r="E6" s="47">
        <v>1</v>
      </c>
      <c r="F6" s="47">
        <v>0.75</v>
      </c>
      <c r="G6" s="48">
        <v>0</v>
      </c>
      <c r="H6" s="48">
        <v>3</v>
      </c>
      <c r="I6" s="49">
        <v>0</v>
      </c>
    </row>
    <row r="7" spans="1:19" x14ac:dyDescent="0.25">
      <c r="A7" s="13" t="s">
        <v>247</v>
      </c>
      <c r="B7" s="45" t="s">
        <v>245</v>
      </c>
      <c r="C7" s="45" t="s">
        <v>246</v>
      </c>
      <c r="D7" s="46">
        <v>150000</v>
      </c>
      <c r="E7" s="47">
        <v>0</v>
      </c>
      <c r="F7" s="47">
        <v>1.5</v>
      </c>
      <c r="G7" s="48">
        <v>4</v>
      </c>
      <c r="H7" s="48">
        <v>4</v>
      </c>
      <c r="I7" s="49">
        <v>0</v>
      </c>
    </row>
    <row r="8" spans="1:19" x14ac:dyDescent="0.25">
      <c r="A8" s="13" t="s">
        <v>248</v>
      </c>
      <c r="B8" s="45" t="s">
        <v>245</v>
      </c>
      <c r="C8" s="45" t="s">
        <v>246</v>
      </c>
      <c r="D8" s="46">
        <v>110000</v>
      </c>
      <c r="E8" s="47">
        <v>0</v>
      </c>
      <c r="F8" s="47">
        <v>1</v>
      </c>
      <c r="G8" s="48">
        <v>28</v>
      </c>
      <c r="H8" s="48">
        <v>3</v>
      </c>
      <c r="I8" s="49">
        <v>0</v>
      </c>
    </row>
    <row r="9" spans="1:19" x14ac:dyDescent="0.25">
      <c r="A9" s="13" t="s">
        <v>249</v>
      </c>
      <c r="B9" s="45" t="s">
        <v>250</v>
      </c>
      <c r="C9" s="45" t="s">
        <v>251</v>
      </c>
      <c r="D9" s="46">
        <v>90000</v>
      </c>
      <c r="E9" s="47">
        <v>8</v>
      </c>
      <c r="G9" s="48">
        <v>16</v>
      </c>
      <c r="H9" s="48">
        <v>30</v>
      </c>
      <c r="I9" s="49">
        <v>0</v>
      </c>
    </row>
    <row r="10" spans="1:19" x14ac:dyDescent="0.25">
      <c r="A10" s="13" t="s">
        <v>252</v>
      </c>
      <c r="B10" s="45" t="s">
        <v>250</v>
      </c>
      <c r="C10" s="45" t="s">
        <v>253</v>
      </c>
      <c r="D10" s="46">
        <v>95000</v>
      </c>
      <c r="E10" s="47">
        <v>150</v>
      </c>
      <c r="G10" s="48">
        <v>28</v>
      </c>
      <c r="H10" s="48">
        <v>24</v>
      </c>
      <c r="I10" s="49">
        <v>0</v>
      </c>
    </row>
    <row r="11" spans="1:19" x14ac:dyDescent="0.25">
      <c r="A11" s="13" t="s">
        <v>254</v>
      </c>
      <c r="B11" s="45" t="s">
        <v>250</v>
      </c>
      <c r="C11" s="45" t="s">
        <v>253</v>
      </c>
      <c r="D11" s="46">
        <v>60000</v>
      </c>
      <c r="E11" s="47">
        <v>60</v>
      </c>
      <c r="G11" s="48">
        <v>30</v>
      </c>
      <c r="H11" s="48">
        <v>50</v>
      </c>
      <c r="I11" s="49">
        <v>0</v>
      </c>
    </row>
    <row r="12" spans="1:19" x14ac:dyDescent="0.25">
      <c r="A12" s="13" t="s">
        <v>255</v>
      </c>
      <c r="B12" s="45" t="s">
        <v>250</v>
      </c>
      <c r="C12" s="45" t="s">
        <v>253</v>
      </c>
      <c r="D12" s="46">
        <v>95000</v>
      </c>
      <c r="E12" s="47">
        <v>200</v>
      </c>
      <c r="G12" s="48">
        <v>28</v>
      </c>
      <c r="H12" s="48">
        <v>18</v>
      </c>
      <c r="I12" s="49">
        <v>0</v>
      </c>
    </row>
    <row r="13" spans="1:19" x14ac:dyDescent="0.25">
      <c r="A13" s="13" t="s">
        <v>256</v>
      </c>
      <c r="B13" s="45" t="s">
        <v>250</v>
      </c>
      <c r="C13" s="45" t="s">
        <v>253</v>
      </c>
      <c r="D13" s="46">
        <v>68000</v>
      </c>
      <c r="E13" s="47">
        <v>20</v>
      </c>
      <c r="G13" s="48">
        <v>28</v>
      </c>
      <c r="H13" s="48">
        <v>80</v>
      </c>
      <c r="I13" s="49">
        <v>1</v>
      </c>
    </row>
    <row r="14" spans="1:19" x14ac:dyDescent="0.25">
      <c r="A14" s="13" t="s">
        <v>257</v>
      </c>
      <c r="B14" s="45" t="s">
        <v>250</v>
      </c>
      <c r="C14" s="45" t="s">
        <v>253</v>
      </c>
      <c r="D14" s="46">
        <v>80000</v>
      </c>
      <c r="E14" s="47">
        <v>150</v>
      </c>
      <c r="G14" s="48">
        <v>32</v>
      </c>
      <c r="H14" s="48">
        <v>16</v>
      </c>
      <c r="I14" s="49">
        <v>0</v>
      </c>
    </row>
    <row r="15" spans="1:19" x14ac:dyDescent="0.25">
      <c r="A15" s="13" t="s">
        <v>258</v>
      </c>
      <c r="B15" s="45" t="s">
        <v>245</v>
      </c>
      <c r="C15" s="45" t="s">
        <v>251</v>
      </c>
      <c r="D15" s="46">
        <v>140000</v>
      </c>
      <c r="E15" s="47">
        <v>3</v>
      </c>
      <c r="G15" s="48">
        <v>32</v>
      </c>
      <c r="H15" s="48">
        <v>18</v>
      </c>
      <c r="I15" s="49">
        <v>0</v>
      </c>
    </row>
    <row r="16" spans="1:19" x14ac:dyDescent="0.25">
      <c r="A16" s="13" t="s">
        <v>259</v>
      </c>
      <c r="B16" s="45" t="s">
        <v>245</v>
      </c>
      <c r="C16" s="45" t="s">
        <v>260</v>
      </c>
      <c r="D16" s="46">
        <v>70000</v>
      </c>
      <c r="E16" s="47">
        <v>2</v>
      </c>
      <c r="G16" s="48">
        <v>33</v>
      </c>
      <c r="H16" s="48">
        <v>12</v>
      </c>
      <c r="I16" s="49">
        <v>0</v>
      </c>
    </row>
    <row r="17" spans="1:19" x14ac:dyDescent="0.25">
      <c r="A17" s="13" t="s">
        <v>261</v>
      </c>
      <c r="B17" s="45" t="s">
        <v>245</v>
      </c>
      <c r="C17" s="45" t="s">
        <v>246</v>
      </c>
      <c r="D17" s="46">
        <v>180000</v>
      </c>
      <c r="E17" s="47">
        <v>2</v>
      </c>
      <c r="F17" s="47">
        <v>0.25</v>
      </c>
      <c r="G17" s="48">
        <v>10</v>
      </c>
      <c r="H17" s="48">
        <v>4</v>
      </c>
      <c r="I17" s="49">
        <v>0</v>
      </c>
    </row>
    <row r="18" spans="1:19" x14ac:dyDescent="0.25">
      <c r="A18" s="13" t="s">
        <v>262</v>
      </c>
      <c r="B18" s="45" t="s">
        <v>245</v>
      </c>
      <c r="C18" s="45" t="s">
        <v>263</v>
      </c>
      <c r="D18" s="46">
        <v>110000</v>
      </c>
      <c r="E18" s="47">
        <v>35</v>
      </c>
      <c r="G18" s="48">
        <v>18</v>
      </c>
      <c r="H18" s="48">
        <v>15</v>
      </c>
      <c r="I18" s="49">
        <v>0</v>
      </c>
    </row>
    <row r="21" spans="1:19" x14ac:dyDescent="0.25">
      <c r="A21" s="50" t="s">
        <v>264</v>
      </c>
      <c r="B21" s="50" t="s">
        <v>265</v>
      </c>
      <c r="C21" s="50" t="s">
        <v>266</v>
      </c>
      <c r="D21" s="50" t="s">
        <v>266</v>
      </c>
      <c r="E21" s="50" t="s">
        <v>266</v>
      </c>
      <c r="F21" s="50" t="s">
        <v>267</v>
      </c>
      <c r="G21" s="50" t="s">
        <v>268</v>
      </c>
      <c r="H21" s="50" t="s">
        <v>268</v>
      </c>
      <c r="I21" s="50" t="s">
        <v>269</v>
      </c>
      <c r="J21" s="50" t="s">
        <v>269</v>
      </c>
      <c r="K21" s="50" t="s">
        <v>270</v>
      </c>
      <c r="L21" s="50" t="s">
        <v>271</v>
      </c>
      <c r="M21" s="50" t="s">
        <v>271</v>
      </c>
      <c r="N21" s="50" t="s">
        <v>272</v>
      </c>
      <c r="O21" s="50" t="s">
        <v>273</v>
      </c>
      <c r="P21" s="50" t="s">
        <v>274</v>
      </c>
      <c r="Q21" s="50" t="s">
        <v>275</v>
      </c>
      <c r="R21" s="50" t="s">
        <v>276</v>
      </c>
      <c r="S21" s="50" t="s">
        <v>277</v>
      </c>
    </row>
    <row r="22" spans="1:19" x14ac:dyDescent="0.25">
      <c r="A22" s="51">
        <v>1</v>
      </c>
      <c r="B22" s="52">
        <f t="shared" ref="B22:B53" si="0">A22-1</f>
        <v>0</v>
      </c>
      <c r="C22" s="52">
        <f>IF(B22&lt;G6,0,IF(MIN(H6,(E6+MAX(0,B22-G6)/12*F6))&gt;0,CEILING(MIN(H6,(E6+MAX(0,B22-G6)/12*F6)),1),0))</f>
        <v>1</v>
      </c>
      <c r="D22" s="52">
        <f>IF(B22&lt;G7,0,IF(MIN(H7,(E7+MAX(0,B22-G7)/12*F7))&gt;0,CEILING(MIN(H7,(E7+MAX(0,B22-G7)/12*F7)),1),0))</f>
        <v>0</v>
      </c>
      <c r="E22" s="52">
        <f>IF(B22&lt;G8,0,IF(MIN(H8,(E8+MAX(0,B22-G8)/12*F8))&gt;0,CEILING(MIN(H8,(E8+MAX(0,B22-G8)/12*F8)),1),0))</f>
        <v>0</v>
      </c>
      <c r="F22" s="52">
        <f>IF(B22&lt;G9,0,IF(MIN(H9,('Proforma (monthly)'!C6/E9))&gt;0,CEILING(MIN(H9,('Proforma (monthly)'!C6/E9)),1),0))</f>
        <v>0</v>
      </c>
      <c r="G22" s="52">
        <f>IF(B22&lt;G10,0,IF(MIN(H10,('Proforma (monthly)'!E6/E10))&gt;0,CEILING(MIN(H10,('Proforma (monthly)'!E6/E10)),1),0))</f>
        <v>0</v>
      </c>
      <c r="H22" s="52">
        <f>IF(B22&lt;G11,0,IF(MIN(H11,('Proforma (monthly)'!E6/E11))&gt;0,CEILING(MIN(H11,('Proforma (monthly)'!E6/E11)),1),0))</f>
        <v>0</v>
      </c>
      <c r="I22" s="52">
        <f>IF(B22&lt;G12,0,IF(MIN(H12,('Proforma (monthly)'!E6/E12))&gt;0,CEILING(MIN(H12,('Proforma (monthly)'!E6/E12)),1),0))</f>
        <v>0</v>
      </c>
      <c r="J22" s="52">
        <f>IF(B22&lt;G13,0,IF(MIN(H13,('Proforma (monthly)'!E6/E13)*CHOOSE(MIN(5,MAX(1,ROUNDUP((A22-'Growth &amp; timing'!B5)/12,0))),$L$3,$M$3,$N$3,$O$3,$P$3))&gt;0,CEILING(MIN(H13,('Proforma (monthly)'!E6/E13)*CHOOSE(MIN(5,MAX(1,ROUNDUP((A22-'Growth &amp; timing'!B5)/12,0))),$L$3,$M$3,$N$3,$O$3,$P$3)),1),0))</f>
        <v>0</v>
      </c>
      <c r="K22" s="52">
        <f>IF(B22&lt;G14,0,IF(MIN(H14,('Proforma (monthly)'!E6/E14))&gt;0,CEILING(MIN(H14,('Proforma (monthly)'!E6/E14)),1),0))</f>
        <v>0</v>
      </c>
      <c r="L22" s="52">
        <f>IF(B22&lt;G15,0,IF(MIN(H15,('Proforma (monthly)'!C6/E15))&gt;0,CEILING(MIN(H15,('Proforma (monthly)'!C6/E15)),1),0))</f>
        <v>0</v>
      </c>
      <c r="M22" s="52">
        <f>IF(B22&lt;G16,0,IF(MIN(H16,(L22/E16))&gt;0,CEILING(MIN(H16,(L22/E16)),1),0))</f>
        <v>0</v>
      </c>
      <c r="N22" s="52">
        <f>IF(B22&lt;G17,0,IF(MIN(H17,(E17+MAX(0,B22-G17)/12*F17))&gt;0,CEILING(MIN(H17,(E17+MAX(0,B22-G17)/12*F17)),1),0))</f>
        <v>0</v>
      </c>
      <c r="O22" s="52">
        <f t="shared" ref="O22:O53" si="1">SUM(C22:N22)</f>
        <v>1</v>
      </c>
      <c r="P22" s="52">
        <f>IF(B22&lt;G18,0,IF(MIN(H18,(O22/E18))&gt;0,CEILING(MIN(H18,(O22/E18)),1),0))</f>
        <v>0</v>
      </c>
      <c r="Q22" s="14">
        <f>(F22*D9*IF(B22&gt;=G9+24,Staffing!B6,1)+G22*D10*IF(B22&gt;=G10+24,Staffing!B6,1)+H22*D11*IF(B22&gt;=G11+24,Staffing!B6,1)+I22*D12*IF(B22&gt;=G12+24,Staffing!B6,1)+J22*D13*IF(B22&gt;=G13+24,Staffing!B6,1)+K22*D14*IF(B22&gt;=G14+24,Staffing!B6,1))/12</f>
        <v>0</v>
      </c>
      <c r="R22" s="14">
        <f>(C22*D6*IF(B22&gt;=G6+24,Staffing!B6,1)+D22*D7*IF(B22&gt;=G7+24,Staffing!B6,1)+E22*D8*IF(B22&gt;=G8+24,Staffing!B6,1)+L22*D15*IF(B22&gt;=G15+24,Staffing!B6,1)+M22*D16*IF(B22&gt;=G16+24,Staffing!B6,1)+N22*D17*IF(B22&gt;=G17+24,Staffing!B6,1)+P22*D18*IF(B22&gt;=G18+24,Staffing!B6,1))/12</f>
        <v>16666.666666666668</v>
      </c>
      <c r="S22" s="52">
        <f t="shared" ref="S22:S53" si="2">O22+P22</f>
        <v>1</v>
      </c>
    </row>
    <row r="23" spans="1:19" x14ac:dyDescent="0.25">
      <c r="A23" s="51">
        <v>2</v>
      </c>
      <c r="B23" s="52">
        <f t="shared" si="0"/>
        <v>1</v>
      </c>
      <c r="C23" s="52">
        <f>IF(B23&lt;G6,0,IF(MIN(H6,(E6+MAX(0,B23-G6)/12*F6))&gt;0,CEILING(MIN(H6,(E6+MAX(0,B23-G6)/12*F6)),1),0))</f>
        <v>2</v>
      </c>
      <c r="D23" s="52">
        <f>IF(B23&lt;G7,0,IF(MIN(H7,(E7+MAX(0,B23-G7)/12*F7))&gt;0,CEILING(MIN(H7,(E7+MAX(0,B23-G7)/12*F7)),1),0))</f>
        <v>0</v>
      </c>
      <c r="E23" s="52">
        <f>IF(B23&lt;G8,0,IF(MIN(H8,(E8+MAX(0,B23-G8)/12*F8))&gt;0,CEILING(MIN(H8,(E8+MAX(0,B23-G8)/12*F8)),1),0))</f>
        <v>0</v>
      </c>
      <c r="F23" s="52">
        <f>IF(B23&lt;G9,0,IF(MIN(H9,('Proforma (monthly)'!C7/E9))&gt;0,CEILING(MIN(H9,('Proforma (monthly)'!C7/E9)),1),0))</f>
        <v>0</v>
      </c>
      <c r="G23" s="52">
        <f>IF(B23&lt;G10,0,IF(MIN(H10,('Proforma (monthly)'!E7/E10))&gt;0,CEILING(MIN(H10,('Proforma (monthly)'!E7/E10)),1),0))</f>
        <v>0</v>
      </c>
      <c r="H23" s="52">
        <f>IF(B23&lt;G11,0,IF(MIN(H11,('Proforma (monthly)'!E7/E11))&gt;0,CEILING(MIN(H11,('Proforma (monthly)'!E7/E11)),1),0))</f>
        <v>0</v>
      </c>
      <c r="I23" s="52">
        <f>IF(B23&lt;G12,0,IF(MIN(H12,('Proforma (monthly)'!E7/E12))&gt;0,CEILING(MIN(H12,('Proforma (monthly)'!E7/E12)),1),0))</f>
        <v>0</v>
      </c>
      <c r="J23" s="52">
        <f>IF(B23&lt;G13,0,IF(MIN(H13,('Proforma (monthly)'!E7/E13)*CHOOSE(MIN(5,MAX(1,ROUNDUP((A23-'Growth &amp; timing'!B5)/12,0))),$L$3,$M$3,$N$3,$O$3,$P$3))&gt;0,CEILING(MIN(H13,('Proforma (monthly)'!E7/E13)*CHOOSE(MIN(5,MAX(1,ROUNDUP((A23-'Growth &amp; timing'!B5)/12,0))),$L$3,$M$3,$N$3,$O$3,$P$3)),1),0))</f>
        <v>0</v>
      </c>
      <c r="K23" s="52">
        <f>IF(B23&lt;G14,0,IF(MIN(H14,('Proforma (monthly)'!E7/E14))&gt;0,CEILING(MIN(H14,('Proforma (monthly)'!E7/E14)),1),0))</f>
        <v>0</v>
      </c>
      <c r="L23" s="52">
        <f>IF(B23&lt;G15,0,IF(MIN(H15,('Proforma (monthly)'!C7/E15))&gt;0,CEILING(MIN(H15,('Proforma (monthly)'!C7/E15)),1),0))</f>
        <v>0</v>
      </c>
      <c r="M23" s="52">
        <f>IF(B23&lt;G16,0,IF(MIN(H16,(L23/E16))&gt;0,CEILING(MIN(H16,(L23/E16)),1),0))</f>
        <v>0</v>
      </c>
      <c r="N23" s="52">
        <f>IF(B23&lt;G17,0,IF(MIN(H17,(E17+MAX(0,B23-G17)/12*F17))&gt;0,CEILING(MIN(H17,(E17+MAX(0,B23-G17)/12*F17)),1),0))</f>
        <v>0</v>
      </c>
      <c r="O23" s="52">
        <f t="shared" si="1"/>
        <v>2</v>
      </c>
      <c r="P23" s="52">
        <f>IF(B23&lt;G18,0,IF(MIN(H18,(O23/E18))&gt;0,CEILING(MIN(H18,(O23/E18)),1),0))</f>
        <v>0</v>
      </c>
      <c r="Q23" s="14">
        <f>(F23*D9*IF(B23&gt;=G9+24,Staffing!B6,1)+G23*D10*IF(B23&gt;=G10+24,Staffing!B6,1)+H23*D11*IF(B23&gt;=G11+24,Staffing!B6,1)+I23*D12*IF(B23&gt;=G12+24,Staffing!B6,1)+J23*D13*IF(B23&gt;=G13+24,Staffing!B6,1)+K23*D14*IF(B23&gt;=G14+24,Staffing!B6,1))/12</f>
        <v>0</v>
      </c>
      <c r="R23" s="14">
        <f>(C23*D6*IF(B23&gt;=G6+24,Staffing!B6,1)+D23*D7*IF(B23&gt;=G7+24,Staffing!B6,1)+E23*D8*IF(B23&gt;=G8+24,Staffing!B6,1)+L23*D15*IF(B23&gt;=G15+24,Staffing!B6,1)+M23*D16*IF(B23&gt;=G16+24,Staffing!B6,1)+N23*D17*IF(B23&gt;=G17+24,Staffing!B6,1)+P23*D18*IF(B23&gt;=G18+24,Staffing!B6,1))/12</f>
        <v>33333.333333333336</v>
      </c>
      <c r="S23" s="52">
        <f t="shared" si="2"/>
        <v>2</v>
      </c>
    </row>
    <row r="24" spans="1:19" x14ac:dyDescent="0.25">
      <c r="A24" s="51">
        <v>3</v>
      </c>
      <c r="B24" s="52">
        <f t="shared" si="0"/>
        <v>2</v>
      </c>
      <c r="C24" s="52">
        <f>IF(B24&lt;G6,0,IF(MIN(H6,(E6+MAX(0,B24-G6)/12*F6))&gt;0,CEILING(MIN(H6,(E6+MAX(0,B24-G6)/12*F6)),1),0))</f>
        <v>2</v>
      </c>
      <c r="D24" s="52">
        <f>IF(B24&lt;G7,0,IF(MIN(H7,(E7+MAX(0,B24-G7)/12*F7))&gt;0,CEILING(MIN(H7,(E7+MAX(0,B24-G7)/12*F7)),1),0))</f>
        <v>0</v>
      </c>
      <c r="E24" s="52">
        <f>IF(B24&lt;G8,0,IF(MIN(H8,(E8+MAX(0,B24-G8)/12*F8))&gt;0,CEILING(MIN(H8,(E8+MAX(0,B24-G8)/12*F8)),1),0))</f>
        <v>0</v>
      </c>
      <c r="F24" s="52">
        <f>IF(B24&lt;G9,0,IF(MIN(H9,('Proforma (monthly)'!C8/E9))&gt;0,CEILING(MIN(H9,('Proforma (monthly)'!C8/E9)),1),0))</f>
        <v>0</v>
      </c>
      <c r="G24" s="52">
        <f>IF(B24&lt;G10,0,IF(MIN(H10,('Proforma (monthly)'!E8/E10))&gt;0,CEILING(MIN(H10,('Proforma (monthly)'!E8/E10)),1),0))</f>
        <v>0</v>
      </c>
      <c r="H24" s="52">
        <f>IF(B24&lt;G11,0,IF(MIN(H11,('Proforma (monthly)'!E8/E11))&gt;0,CEILING(MIN(H11,('Proforma (monthly)'!E8/E11)),1),0))</f>
        <v>0</v>
      </c>
      <c r="I24" s="52">
        <f>IF(B24&lt;G12,0,IF(MIN(H12,('Proforma (monthly)'!E8/E12))&gt;0,CEILING(MIN(H12,('Proforma (monthly)'!E8/E12)),1),0))</f>
        <v>0</v>
      </c>
      <c r="J24" s="52">
        <f>IF(B24&lt;G13,0,IF(MIN(H13,('Proforma (monthly)'!E8/E13)*CHOOSE(MIN(5,MAX(1,ROUNDUP((A24-'Growth &amp; timing'!B5)/12,0))),$L$3,$M$3,$N$3,$O$3,$P$3))&gt;0,CEILING(MIN(H13,('Proforma (monthly)'!E8/E13)*CHOOSE(MIN(5,MAX(1,ROUNDUP((A24-'Growth &amp; timing'!B5)/12,0))),$L$3,$M$3,$N$3,$O$3,$P$3)),1),0))</f>
        <v>0</v>
      </c>
      <c r="K24" s="52">
        <f>IF(B24&lt;G14,0,IF(MIN(H14,('Proforma (monthly)'!E8/E14))&gt;0,CEILING(MIN(H14,('Proforma (monthly)'!E8/E14)),1),0))</f>
        <v>0</v>
      </c>
      <c r="L24" s="52">
        <f>IF(B24&lt;G15,0,IF(MIN(H15,('Proforma (monthly)'!C8/E15))&gt;0,CEILING(MIN(H15,('Proforma (monthly)'!C8/E15)),1),0))</f>
        <v>0</v>
      </c>
      <c r="M24" s="52">
        <f>IF(B24&lt;G16,0,IF(MIN(H16,(L24/E16))&gt;0,CEILING(MIN(H16,(L24/E16)),1),0))</f>
        <v>0</v>
      </c>
      <c r="N24" s="52">
        <f>IF(B24&lt;G17,0,IF(MIN(H17,(E17+MAX(0,B24-G17)/12*F17))&gt;0,CEILING(MIN(H17,(E17+MAX(0,B24-G17)/12*F17)),1),0))</f>
        <v>0</v>
      </c>
      <c r="O24" s="52">
        <f t="shared" si="1"/>
        <v>2</v>
      </c>
      <c r="P24" s="52">
        <f>IF(B24&lt;G18,0,IF(MIN(H18,(O24/E18))&gt;0,CEILING(MIN(H18,(O24/E18)),1),0))</f>
        <v>0</v>
      </c>
      <c r="Q24" s="14">
        <f>(F24*D9*IF(B24&gt;=G9+24,Staffing!B6,1)+G24*D10*IF(B24&gt;=G10+24,Staffing!B6,1)+H24*D11*IF(B24&gt;=G11+24,Staffing!B6,1)+I24*D12*IF(B24&gt;=G12+24,Staffing!B6,1)+J24*D13*IF(B24&gt;=G13+24,Staffing!B6,1)+K24*D14*IF(B24&gt;=G14+24,Staffing!B6,1))/12</f>
        <v>0</v>
      </c>
      <c r="R24" s="14">
        <f>(C24*D6*IF(B24&gt;=G6+24,Staffing!B6,1)+D24*D7*IF(B24&gt;=G7+24,Staffing!B6,1)+E24*D8*IF(B24&gt;=G8+24,Staffing!B6,1)+L24*D15*IF(B24&gt;=G15+24,Staffing!B6,1)+M24*D16*IF(B24&gt;=G16+24,Staffing!B6,1)+N24*D17*IF(B24&gt;=G17+24,Staffing!B6,1)+P24*D18*IF(B24&gt;=G18+24,Staffing!B6,1))/12</f>
        <v>33333.333333333336</v>
      </c>
      <c r="S24" s="52">
        <f t="shared" si="2"/>
        <v>2</v>
      </c>
    </row>
    <row r="25" spans="1:19" x14ac:dyDescent="0.25">
      <c r="A25" s="51">
        <v>4</v>
      </c>
      <c r="B25" s="52">
        <f t="shared" si="0"/>
        <v>3</v>
      </c>
      <c r="C25" s="52">
        <f>IF(B25&lt;G6,0,IF(MIN(H6,(E6+MAX(0,B25-G6)/12*F6))&gt;0,CEILING(MIN(H6,(E6+MAX(0,B25-G6)/12*F6)),1),0))</f>
        <v>2</v>
      </c>
      <c r="D25" s="52">
        <f>IF(B25&lt;G7,0,IF(MIN(H7,(E7+MAX(0,B25-G7)/12*F7))&gt;0,CEILING(MIN(H7,(E7+MAX(0,B25-G7)/12*F7)),1),0))</f>
        <v>0</v>
      </c>
      <c r="E25" s="52">
        <f>IF(B25&lt;G8,0,IF(MIN(H8,(E8+MAX(0,B25-G8)/12*F8))&gt;0,CEILING(MIN(H8,(E8+MAX(0,B25-G8)/12*F8)),1),0))</f>
        <v>0</v>
      </c>
      <c r="F25" s="52">
        <f>IF(B25&lt;G9,0,IF(MIN(H9,('Proforma (monthly)'!C9/E9))&gt;0,CEILING(MIN(H9,('Proforma (monthly)'!C9/E9)),1),0))</f>
        <v>0</v>
      </c>
      <c r="G25" s="52">
        <f>IF(B25&lt;G10,0,IF(MIN(H10,('Proforma (monthly)'!E9/E10))&gt;0,CEILING(MIN(H10,('Proforma (monthly)'!E9/E10)),1),0))</f>
        <v>0</v>
      </c>
      <c r="H25" s="52">
        <f>IF(B25&lt;G11,0,IF(MIN(H11,('Proforma (monthly)'!E9/E11))&gt;0,CEILING(MIN(H11,('Proforma (monthly)'!E9/E11)),1),0))</f>
        <v>0</v>
      </c>
      <c r="I25" s="52">
        <f>IF(B25&lt;G12,0,IF(MIN(H12,('Proforma (monthly)'!E9/E12))&gt;0,CEILING(MIN(H12,('Proforma (monthly)'!E9/E12)),1),0))</f>
        <v>0</v>
      </c>
      <c r="J25" s="52">
        <f>IF(B25&lt;G13,0,IF(MIN(H13,('Proforma (monthly)'!E9/E13)*CHOOSE(MIN(5,MAX(1,ROUNDUP((A25-'Growth &amp; timing'!B5)/12,0))),$L$3,$M$3,$N$3,$O$3,$P$3))&gt;0,CEILING(MIN(H13,('Proforma (monthly)'!E9/E13)*CHOOSE(MIN(5,MAX(1,ROUNDUP((A25-'Growth &amp; timing'!B5)/12,0))),$L$3,$M$3,$N$3,$O$3,$P$3)),1),0))</f>
        <v>0</v>
      </c>
      <c r="K25" s="52">
        <f>IF(B25&lt;G14,0,IF(MIN(H14,('Proforma (monthly)'!E9/E14))&gt;0,CEILING(MIN(H14,('Proforma (monthly)'!E9/E14)),1),0))</f>
        <v>0</v>
      </c>
      <c r="L25" s="52">
        <f>IF(B25&lt;G15,0,IF(MIN(H15,('Proforma (monthly)'!C9/E15))&gt;0,CEILING(MIN(H15,('Proforma (monthly)'!C9/E15)),1),0))</f>
        <v>0</v>
      </c>
      <c r="M25" s="52">
        <f>IF(B25&lt;G16,0,IF(MIN(H16,(L25/E16))&gt;0,CEILING(MIN(H16,(L25/E16)),1),0))</f>
        <v>0</v>
      </c>
      <c r="N25" s="52">
        <f>IF(B25&lt;G17,0,IF(MIN(H17,(E17+MAX(0,B25-G17)/12*F17))&gt;0,CEILING(MIN(H17,(E17+MAX(0,B25-G17)/12*F17)),1),0))</f>
        <v>0</v>
      </c>
      <c r="O25" s="52">
        <f t="shared" si="1"/>
        <v>2</v>
      </c>
      <c r="P25" s="52">
        <f>IF(B25&lt;G18,0,IF(MIN(H18,(O25/E18))&gt;0,CEILING(MIN(H18,(O25/E18)),1),0))</f>
        <v>0</v>
      </c>
      <c r="Q25" s="14">
        <f>(F25*D9*IF(B25&gt;=G9+24,Staffing!B6,1)+G25*D10*IF(B25&gt;=G10+24,Staffing!B6,1)+H25*D11*IF(B25&gt;=G11+24,Staffing!B6,1)+I25*D12*IF(B25&gt;=G12+24,Staffing!B6,1)+J25*D13*IF(B25&gt;=G13+24,Staffing!B6,1)+K25*D14*IF(B25&gt;=G14+24,Staffing!B6,1))/12</f>
        <v>0</v>
      </c>
      <c r="R25" s="14">
        <f>(C25*D6*IF(B25&gt;=G6+24,Staffing!B6,1)+D25*D7*IF(B25&gt;=G7+24,Staffing!B6,1)+E25*D8*IF(B25&gt;=G8+24,Staffing!B6,1)+L25*D15*IF(B25&gt;=G15+24,Staffing!B6,1)+M25*D16*IF(B25&gt;=G16+24,Staffing!B6,1)+N25*D17*IF(B25&gt;=G17+24,Staffing!B6,1)+P25*D18*IF(B25&gt;=G18+24,Staffing!B6,1))/12</f>
        <v>33333.333333333336</v>
      </c>
      <c r="S25" s="52">
        <f t="shared" si="2"/>
        <v>2</v>
      </c>
    </row>
    <row r="26" spans="1:19" x14ac:dyDescent="0.25">
      <c r="A26" s="51">
        <v>5</v>
      </c>
      <c r="B26" s="52">
        <f t="shared" si="0"/>
        <v>4</v>
      </c>
      <c r="C26" s="52">
        <f>IF(B26&lt;G6,0,IF(MIN(H6,(E6+MAX(0,B26-G6)/12*F6))&gt;0,CEILING(MIN(H6,(E6+MAX(0,B26-G6)/12*F6)),1),0))</f>
        <v>2</v>
      </c>
      <c r="D26" s="52">
        <f>IF(B26&lt;G7,0,IF(MIN(H7,(E7+MAX(0,B26-G7)/12*F7))&gt;0,CEILING(MIN(H7,(E7+MAX(0,B26-G7)/12*F7)),1),0))</f>
        <v>0</v>
      </c>
      <c r="E26" s="52">
        <f>IF(B26&lt;G8,0,IF(MIN(H8,(E8+MAX(0,B26-G8)/12*F8))&gt;0,CEILING(MIN(H8,(E8+MAX(0,B26-G8)/12*F8)),1),0))</f>
        <v>0</v>
      </c>
      <c r="F26" s="52">
        <f>IF(B26&lt;G9,0,IF(MIN(H9,('Proforma (monthly)'!C10/E9))&gt;0,CEILING(MIN(H9,('Proforma (monthly)'!C10/E9)),1),0))</f>
        <v>0</v>
      </c>
      <c r="G26" s="52">
        <f>IF(B26&lt;G10,0,IF(MIN(H10,('Proforma (monthly)'!E10/E10))&gt;0,CEILING(MIN(H10,('Proforma (monthly)'!E10/E10)),1),0))</f>
        <v>0</v>
      </c>
      <c r="H26" s="52">
        <f>IF(B26&lt;G11,0,IF(MIN(H11,('Proforma (monthly)'!E10/E11))&gt;0,CEILING(MIN(H11,('Proforma (monthly)'!E10/E11)),1),0))</f>
        <v>0</v>
      </c>
      <c r="I26" s="52">
        <f>IF(B26&lt;G12,0,IF(MIN(H12,('Proforma (monthly)'!E10/E12))&gt;0,CEILING(MIN(H12,('Proforma (monthly)'!E10/E12)),1),0))</f>
        <v>0</v>
      </c>
      <c r="J26" s="52">
        <f>IF(B26&lt;G13,0,IF(MIN(H13,('Proforma (monthly)'!E10/E13)*CHOOSE(MIN(5,MAX(1,ROUNDUP((A26-'Growth &amp; timing'!B5)/12,0))),$L$3,$M$3,$N$3,$O$3,$P$3))&gt;0,CEILING(MIN(H13,('Proforma (monthly)'!E10/E13)*CHOOSE(MIN(5,MAX(1,ROUNDUP((A26-'Growth &amp; timing'!B5)/12,0))),$L$3,$M$3,$N$3,$O$3,$P$3)),1),0))</f>
        <v>0</v>
      </c>
      <c r="K26" s="52">
        <f>IF(B26&lt;G14,0,IF(MIN(H14,('Proforma (monthly)'!E10/E14))&gt;0,CEILING(MIN(H14,('Proforma (monthly)'!E10/E14)),1),0))</f>
        <v>0</v>
      </c>
      <c r="L26" s="52">
        <f>IF(B26&lt;G15,0,IF(MIN(H15,('Proforma (monthly)'!C10/E15))&gt;0,CEILING(MIN(H15,('Proforma (monthly)'!C10/E15)),1),0))</f>
        <v>0</v>
      </c>
      <c r="M26" s="52">
        <f>IF(B26&lt;G16,0,IF(MIN(H16,(L26/E16))&gt;0,CEILING(MIN(H16,(L26/E16)),1),0))</f>
        <v>0</v>
      </c>
      <c r="N26" s="52">
        <f>IF(B26&lt;G17,0,IF(MIN(H17,(E17+MAX(0,B26-G17)/12*F17))&gt;0,CEILING(MIN(H17,(E17+MAX(0,B26-G17)/12*F17)),1),0))</f>
        <v>0</v>
      </c>
      <c r="O26" s="52">
        <f t="shared" si="1"/>
        <v>2</v>
      </c>
      <c r="P26" s="52">
        <f>IF(B26&lt;G18,0,IF(MIN(H18,(O26/E18))&gt;0,CEILING(MIN(H18,(O26/E18)),1),0))</f>
        <v>0</v>
      </c>
      <c r="Q26" s="14">
        <f>(F26*D9*IF(B26&gt;=G9+24,Staffing!B6,1)+G26*D10*IF(B26&gt;=G10+24,Staffing!B6,1)+H26*D11*IF(B26&gt;=G11+24,Staffing!B6,1)+I26*D12*IF(B26&gt;=G12+24,Staffing!B6,1)+J26*D13*IF(B26&gt;=G13+24,Staffing!B6,1)+K26*D14*IF(B26&gt;=G14+24,Staffing!B6,1))/12</f>
        <v>0</v>
      </c>
      <c r="R26" s="14">
        <f>(C26*D6*IF(B26&gt;=G6+24,Staffing!B6,1)+D26*D7*IF(B26&gt;=G7+24,Staffing!B6,1)+E26*D8*IF(B26&gt;=G8+24,Staffing!B6,1)+L26*D15*IF(B26&gt;=G15+24,Staffing!B6,1)+M26*D16*IF(B26&gt;=G16+24,Staffing!B6,1)+N26*D17*IF(B26&gt;=G17+24,Staffing!B6,1)+P26*D18*IF(B26&gt;=G18+24,Staffing!B6,1))/12</f>
        <v>33333.333333333336</v>
      </c>
      <c r="S26" s="52">
        <f t="shared" si="2"/>
        <v>2</v>
      </c>
    </row>
    <row r="27" spans="1:19" x14ac:dyDescent="0.25">
      <c r="A27" s="51">
        <v>6</v>
      </c>
      <c r="B27" s="52">
        <f t="shared" si="0"/>
        <v>5</v>
      </c>
      <c r="C27" s="52">
        <f>IF(B27&lt;G6,0,IF(MIN(H6,(E6+MAX(0,B27-G6)/12*F6))&gt;0,CEILING(MIN(H6,(E6+MAX(0,B27-G6)/12*F6)),1),0))</f>
        <v>2</v>
      </c>
      <c r="D27" s="52">
        <f>IF(B27&lt;G7,0,IF(MIN(H7,(E7+MAX(0,B27-G7)/12*F7))&gt;0,CEILING(MIN(H7,(E7+MAX(0,B27-G7)/12*F7)),1),0))</f>
        <v>1</v>
      </c>
      <c r="E27" s="52">
        <f>IF(B27&lt;G8,0,IF(MIN(H8,(E8+MAX(0,B27-G8)/12*F8))&gt;0,CEILING(MIN(H8,(E8+MAX(0,B27-G8)/12*F8)),1),0))</f>
        <v>0</v>
      </c>
      <c r="F27" s="52">
        <f>IF(B27&lt;G9,0,IF(MIN(H9,('Proforma (monthly)'!C11/E9))&gt;0,CEILING(MIN(H9,('Proforma (monthly)'!C11/E9)),1),0))</f>
        <v>0</v>
      </c>
      <c r="G27" s="52">
        <f>IF(B27&lt;G10,0,IF(MIN(H10,('Proforma (monthly)'!E11/E10))&gt;0,CEILING(MIN(H10,('Proforma (monthly)'!E11/E10)),1),0))</f>
        <v>0</v>
      </c>
      <c r="H27" s="52">
        <f>IF(B27&lt;G11,0,IF(MIN(H11,('Proforma (monthly)'!E11/E11))&gt;0,CEILING(MIN(H11,('Proforma (monthly)'!E11/E11)),1),0))</f>
        <v>0</v>
      </c>
      <c r="I27" s="52">
        <f>IF(B27&lt;G12,0,IF(MIN(H12,('Proforma (monthly)'!E11/E12))&gt;0,CEILING(MIN(H12,('Proforma (monthly)'!E11/E12)),1),0))</f>
        <v>0</v>
      </c>
      <c r="J27" s="52">
        <f>IF(B27&lt;G13,0,IF(MIN(H13,('Proforma (monthly)'!E11/E13)*CHOOSE(MIN(5,MAX(1,ROUNDUP((A27-'Growth &amp; timing'!B5)/12,0))),$L$3,$M$3,$N$3,$O$3,$P$3))&gt;0,CEILING(MIN(H13,('Proforma (monthly)'!E11/E13)*CHOOSE(MIN(5,MAX(1,ROUNDUP((A27-'Growth &amp; timing'!B5)/12,0))),$L$3,$M$3,$N$3,$O$3,$P$3)),1),0))</f>
        <v>0</v>
      </c>
      <c r="K27" s="52">
        <f>IF(B27&lt;G14,0,IF(MIN(H14,('Proforma (monthly)'!E11/E14))&gt;0,CEILING(MIN(H14,('Proforma (monthly)'!E11/E14)),1),0))</f>
        <v>0</v>
      </c>
      <c r="L27" s="52">
        <f>IF(B27&lt;G15,0,IF(MIN(H15,('Proforma (monthly)'!C11/E15))&gt;0,CEILING(MIN(H15,('Proforma (monthly)'!C11/E15)),1),0))</f>
        <v>0</v>
      </c>
      <c r="M27" s="52">
        <f>IF(B27&lt;G16,0,IF(MIN(H16,(L27/E16))&gt;0,CEILING(MIN(H16,(L27/E16)),1),0))</f>
        <v>0</v>
      </c>
      <c r="N27" s="52">
        <f>IF(B27&lt;G17,0,IF(MIN(H17,(E17+MAX(0,B27-G17)/12*F17))&gt;0,CEILING(MIN(H17,(E17+MAX(0,B27-G17)/12*F17)),1),0))</f>
        <v>0</v>
      </c>
      <c r="O27" s="52">
        <f t="shared" si="1"/>
        <v>3</v>
      </c>
      <c r="P27" s="52">
        <f>IF(B27&lt;G18,0,IF(MIN(H18,(O27/E18))&gt;0,CEILING(MIN(H18,(O27/E18)),1),0))</f>
        <v>0</v>
      </c>
      <c r="Q27" s="14">
        <f>(F27*D9*IF(B27&gt;=G9+24,Staffing!B6,1)+G27*D10*IF(B27&gt;=G10+24,Staffing!B6,1)+H27*D11*IF(B27&gt;=G11+24,Staffing!B6,1)+I27*D12*IF(B27&gt;=G12+24,Staffing!B6,1)+J27*D13*IF(B27&gt;=G13+24,Staffing!B6,1)+K27*D14*IF(B27&gt;=G14+24,Staffing!B6,1))/12</f>
        <v>0</v>
      </c>
      <c r="R27" s="14">
        <f>(C27*D6*IF(B27&gt;=G6+24,Staffing!B6,1)+D27*D7*IF(B27&gt;=G7+24,Staffing!B6,1)+E27*D8*IF(B27&gt;=G8+24,Staffing!B6,1)+L27*D15*IF(B27&gt;=G15+24,Staffing!B6,1)+M27*D16*IF(B27&gt;=G16+24,Staffing!B6,1)+N27*D17*IF(B27&gt;=G17+24,Staffing!B6,1)+P27*D18*IF(B27&gt;=G18+24,Staffing!B6,1))/12</f>
        <v>45833.333333333336</v>
      </c>
      <c r="S27" s="52">
        <f t="shared" si="2"/>
        <v>3</v>
      </c>
    </row>
    <row r="28" spans="1:19" x14ac:dyDescent="0.25">
      <c r="A28" s="51">
        <v>7</v>
      </c>
      <c r="B28" s="52">
        <f t="shared" si="0"/>
        <v>6</v>
      </c>
      <c r="C28" s="52">
        <f>IF(B28&lt;G6,0,IF(MIN(H6,(E6+MAX(0,B28-G6)/12*F6))&gt;0,CEILING(MIN(H6,(E6+MAX(0,B28-G6)/12*F6)),1),0))</f>
        <v>2</v>
      </c>
      <c r="D28" s="52">
        <f>IF(B28&lt;G7,0,IF(MIN(H7,(E7+MAX(0,B28-G7)/12*F7))&gt;0,CEILING(MIN(H7,(E7+MAX(0,B28-G7)/12*F7)),1),0))</f>
        <v>1</v>
      </c>
      <c r="E28" s="52">
        <f>IF(B28&lt;G8,0,IF(MIN(H8,(E8+MAX(0,B28-G8)/12*F8))&gt;0,CEILING(MIN(H8,(E8+MAX(0,B28-G8)/12*F8)),1),0))</f>
        <v>0</v>
      </c>
      <c r="F28" s="52">
        <f>IF(B28&lt;G9,0,IF(MIN(H9,('Proforma (monthly)'!C12/E9))&gt;0,CEILING(MIN(H9,('Proforma (monthly)'!C12/E9)),1),0))</f>
        <v>0</v>
      </c>
      <c r="G28" s="52">
        <f>IF(B28&lt;G10,0,IF(MIN(H10,('Proforma (monthly)'!E12/E10))&gt;0,CEILING(MIN(H10,('Proforma (monthly)'!E12/E10)),1),0))</f>
        <v>0</v>
      </c>
      <c r="H28" s="52">
        <f>IF(B28&lt;G11,0,IF(MIN(H11,('Proforma (monthly)'!E12/E11))&gt;0,CEILING(MIN(H11,('Proforma (monthly)'!E12/E11)),1),0))</f>
        <v>0</v>
      </c>
      <c r="I28" s="52">
        <f>IF(B28&lt;G12,0,IF(MIN(H12,('Proforma (monthly)'!E12/E12))&gt;0,CEILING(MIN(H12,('Proforma (monthly)'!E12/E12)),1),0))</f>
        <v>0</v>
      </c>
      <c r="J28" s="52">
        <f>IF(B28&lt;G13,0,IF(MIN(H13,('Proforma (monthly)'!E12/E13)*CHOOSE(MIN(5,MAX(1,ROUNDUP((A28-'Growth &amp; timing'!B5)/12,0))),$L$3,$M$3,$N$3,$O$3,$P$3))&gt;0,CEILING(MIN(H13,('Proforma (monthly)'!E12/E13)*CHOOSE(MIN(5,MAX(1,ROUNDUP((A28-'Growth &amp; timing'!B5)/12,0))),$L$3,$M$3,$N$3,$O$3,$P$3)),1),0))</f>
        <v>0</v>
      </c>
      <c r="K28" s="52">
        <f>IF(B28&lt;G14,0,IF(MIN(H14,('Proforma (monthly)'!E12/E14))&gt;0,CEILING(MIN(H14,('Proforma (monthly)'!E12/E14)),1),0))</f>
        <v>0</v>
      </c>
      <c r="L28" s="52">
        <f>IF(B28&lt;G15,0,IF(MIN(H15,('Proforma (monthly)'!C12/E15))&gt;0,CEILING(MIN(H15,('Proforma (monthly)'!C12/E15)),1),0))</f>
        <v>0</v>
      </c>
      <c r="M28" s="52">
        <f>IF(B28&lt;G16,0,IF(MIN(H16,(L28/E16))&gt;0,CEILING(MIN(H16,(L28/E16)),1),0))</f>
        <v>0</v>
      </c>
      <c r="N28" s="52">
        <f>IF(B28&lt;G17,0,IF(MIN(H17,(E17+MAX(0,B28-G17)/12*F17))&gt;0,CEILING(MIN(H17,(E17+MAX(0,B28-G17)/12*F17)),1),0))</f>
        <v>0</v>
      </c>
      <c r="O28" s="52">
        <f t="shared" si="1"/>
        <v>3</v>
      </c>
      <c r="P28" s="52">
        <f>IF(B28&lt;G18,0,IF(MIN(H18,(O28/E18))&gt;0,CEILING(MIN(H18,(O28/E18)),1),0))</f>
        <v>0</v>
      </c>
      <c r="Q28" s="14">
        <f>(F28*D9*IF(B28&gt;=G9+24,Staffing!B6,1)+G28*D10*IF(B28&gt;=G10+24,Staffing!B6,1)+H28*D11*IF(B28&gt;=G11+24,Staffing!B6,1)+I28*D12*IF(B28&gt;=G12+24,Staffing!B6,1)+J28*D13*IF(B28&gt;=G13+24,Staffing!B6,1)+K28*D14*IF(B28&gt;=G14+24,Staffing!B6,1))/12</f>
        <v>0</v>
      </c>
      <c r="R28" s="14">
        <f>(C28*D6*IF(B28&gt;=G6+24,Staffing!B6,1)+D28*D7*IF(B28&gt;=G7+24,Staffing!B6,1)+E28*D8*IF(B28&gt;=G8+24,Staffing!B6,1)+L28*D15*IF(B28&gt;=G15+24,Staffing!B6,1)+M28*D16*IF(B28&gt;=G16+24,Staffing!B6,1)+N28*D17*IF(B28&gt;=G17+24,Staffing!B6,1)+P28*D18*IF(B28&gt;=G18+24,Staffing!B6,1))/12</f>
        <v>45833.333333333336</v>
      </c>
      <c r="S28" s="52">
        <f t="shared" si="2"/>
        <v>3</v>
      </c>
    </row>
    <row r="29" spans="1:19" x14ac:dyDescent="0.25">
      <c r="A29" s="51">
        <v>8</v>
      </c>
      <c r="B29" s="52">
        <f t="shared" si="0"/>
        <v>7</v>
      </c>
      <c r="C29" s="52">
        <f>IF(B29&lt;G6,0,IF(MIN(H6,(E6+MAX(0,B29-G6)/12*F6))&gt;0,CEILING(MIN(H6,(E6+MAX(0,B29-G6)/12*F6)),1),0))</f>
        <v>2</v>
      </c>
      <c r="D29" s="52">
        <f>IF(B29&lt;G7,0,IF(MIN(H7,(E7+MAX(0,B29-G7)/12*F7))&gt;0,CEILING(MIN(H7,(E7+MAX(0,B29-G7)/12*F7)),1),0))</f>
        <v>1</v>
      </c>
      <c r="E29" s="52">
        <f>IF(B29&lt;G8,0,IF(MIN(H8,(E8+MAX(0,B29-G8)/12*F8))&gt;0,CEILING(MIN(H8,(E8+MAX(0,B29-G8)/12*F8)),1),0))</f>
        <v>0</v>
      </c>
      <c r="F29" s="52">
        <f>IF(B29&lt;G9,0,IF(MIN(H9,('Proforma (monthly)'!C13/E9))&gt;0,CEILING(MIN(H9,('Proforma (monthly)'!C13/E9)),1),0))</f>
        <v>0</v>
      </c>
      <c r="G29" s="52">
        <f>IF(B29&lt;G10,0,IF(MIN(H10,('Proforma (monthly)'!E13/E10))&gt;0,CEILING(MIN(H10,('Proforma (monthly)'!E13/E10)),1),0))</f>
        <v>0</v>
      </c>
      <c r="H29" s="52">
        <f>IF(B29&lt;G11,0,IF(MIN(H11,('Proforma (monthly)'!E13/E11))&gt;0,CEILING(MIN(H11,('Proforma (monthly)'!E13/E11)),1),0))</f>
        <v>0</v>
      </c>
      <c r="I29" s="52">
        <f>IF(B29&lt;G12,0,IF(MIN(H12,('Proforma (monthly)'!E13/E12))&gt;0,CEILING(MIN(H12,('Proforma (monthly)'!E13/E12)),1),0))</f>
        <v>0</v>
      </c>
      <c r="J29" s="52">
        <f>IF(B29&lt;G13,0,IF(MIN(H13,('Proforma (monthly)'!E13/E13)*CHOOSE(MIN(5,MAX(1,ROUNDUP((A29-'Growth &amp; timing'!B5)/12,0))),$L$3,$M$3,$N$3,$O$3,$P$3))&gt;0,CEILING(MIN(H13,('Proforma (monthly)'!E13/E13)*CHOOSE(MIN(5,MAX(1,ROUNDUP((A29-'Growth &amp; timing'!B5)/12,0))),$L$3,$M$3,$N$3,$O$3,$P$3)),1),0))</f>
        <v>0</v>
      </c>
      <c r="K29" s="52">
        <f>IF(B29&lt;G14,0,IF(MIN(H14,('Proforma (monthly)'!E13/E14))&gt;0,CEILING(MIN(H14,('Proforma (monthly)'!E13/E14)),1),0))</f>
        <v>0</v>
      </c>
      <c r="L29" s="52">
        <f>IF(B29&lt;G15,0,IF(MIN(H15,('Proforma (monthly)'!C13/E15))&gt;0,CEILING(MIN(H15,('Proforma (monthly)'!C13/E15)),1),0))</f>
        <v>0</v>
      </c>
      <c r="M29" s="52">
        <f>IF(B29&lt;G16,0,IF(MIN(H16,(L29/E16))&gt;0,CEILING(MIN(H16,(L29/E16)),1),0))</f>
        <v>0</v>
      </c>
      <c r="N29" s="52">
        <f>IF(B29&lt;G17,0,IF(MIN(H17,(E17+MAX(0,B29-G17)/12*F17))&gt;0,CEILING(MIN(H17,(E17+MAX(0,B29-G17)/12*F17)),1),0))</f>
        <v>0</v>
      </c>
      <c r="O29" s="52">
        <f t="shared" si="1"/>
        <v>3</v>
      </c>
      <c r="P29" s="52">
        <f>IF(B29&lt;G18,0,IF(MIN(H18,(O29/E18))&gt;0,CEILING(MIN(H18,(O29/E18)),1),0))</f>
        <v>0</v>
      </c>
      <c r="Q29" s="14">
        <f>(F29*D9*IF(B29&gt;=G9+24,Staffing!B6,1)+G29*D10*IF(B29&gt;=G10+24,Staffing!B6,1)+H29*D11*IF(B29&gt;=G11+24,Staffing!B6,1)+I29*D12*IF(B29&gt;=G12+24,Staffing!B6,1)+J29*D13*IF(B29&gt;=G13+24,Staffing!B6,1)+K29*D14*IF(B29&gt;=G14+24,Staffing!B6,1))/12</f>
        <v>0</v>
      </c>
      <c r="R29" s="14">
        <f>(C29*D6*IF(B29&gt;=G6+24,Staffing!B6,1)+D29*D7*IF(B29&gt;=G7+24,Staffing!B6,1)+E29*D8*IF(B29&gt;=G8+24,Staffing!B6,1)+L29*D15*IF(B29&gt;=G15+24,Staffing!B6,1)+M29*D16*IF(B29&gt;=G16+24,Staffing!B6,1)+N29*D17*IF(B29&gt;=G17+24,Staffing!B6,1)+P29*D18*IF(B29&gt;=G18+24,Staffing!B6,1))/12</f>
        <v>45833.333333333336</v>
      </c>
      <c r="S29" s="52">
        <f t="shared" si="2"/>
        <v>3</v>
      </c>
    </row>
    <row r="30" spans="1:19" x14ac:dyDescent="0.25">
      <c r="A30" s="51">
        <v>9</v>
      </c>
      <c r="B30" s="52">
        <f t="shared" si="0"/>
        <v>8</v>
      </c>
      <c r="C30" s="52">
        <f>IF(B30&lt;G6,0,IF(MIN(H6,(E6+MAX(0,B30-G6)/12*F6))&gt;0,CEILING(MIN(H6,(E6+MAX(0,B30-G6)/12*F6)),1),0))</f>
        <v>2</v>
      </c>
      <c r="D30" s="52">
        <f>IF(B30&lt;G7,0,IF(MIN(H7,(E7+MAX(0,B30-G7)/12*F7))&gt;0,CEILING(MIN(H7,(E7+MAX(0,B30-G7)/12*F7)),1),0))</f>
        <v>1</v>
      </c>
      <c r="E30" s="52">
        <f>IF(B30&lt;G8,0,IF(MIN(H8,(E8+MAX(0,B30-G8)/12*F8))&gt;0,CEILING(MIN(H8,(E8+MAX(0,B30-G8)/12*F8)),1),0))</f>
        <v>0</v>
      </c>
      <c r="F30" s="52">
        <f>IF(B30&lt;G9,0,IF(MIN(H9,('Proforma (monthly)'!C14/E9))&gt;0,CEILING(MIN(H9,('Proforma (monthly)'!C14/E9)),1),0))</f>
        <v>0</v>
      </c>
      <c r="G30" s="52">
        <f>IF(B30&lt;G10,0,IF(MIN(H10,('Proforma (monthly)'!E14/E10))&gt;0,CEILING(MIN(H10,('Proforma (monthly)'!E14/E10)),1),0))</f>
        <v>0</v>
      </c>
      <c r="H30" s="52">
        <f>IF(B30&lt;G11,0,IF(MIN(H11,('Proforma (monthly)'!E14/E11))&gt;0,CEILING(MIN(H11,('Proforma (monthly)'!E14/E11)),1),0))</f>
        <v>0</v>
      </c>
      <c r="I30" s="52">
        <f>IF(B30&lt;G12,0,IF(MIN(H12,('Proforma (monthly)'!E14/E12))&gt;0,CEILING(MIN(H12,('Proforma (monthly)'!E14/E12)),1),0))</f>
        <v>0</v>
      </c>
      <c r="J30" s="52">
        <f>IF(B30&lt;G13,0,IF(MIN(H13,('Proforma (monthly)'!E14/E13)*CHOOSE(MIN(5,MAX(1,ROUNDUP((A30-'Growth &amp; timing'!B5)/12,0))),$L$3,$M$3,$N$3,$O$3,$P$3))&gt;0,CEILING(MIN(H13,('Proforma (monthly)'!E14/E13)*CHOOSE(MIN(5,MAX(1,ROUNDUP((A30-'Growth &amp; timing'!B5)/12,0))),$L$3,$M$3,$N$3,$O$3,$P$3)),1),0))</f>
        <v>0</v>
      </c>
      <c r="K30" s="52">
        <f>IF(B30&lt;G14,0,IF(MIN(H14,('Proforma (monthly)'!E14/E14))&gt;0,CEILING(MIN(H14,('Proforma (monthly)'!E14/E14)),1),0))</f>
        <v>0</v>
      </c>
      <c r="L30" s="52">
        <f>IF(B30&lt;G15,0,IF(MIN(H15,('Proforma (monthly)'!C14/E15))&gt;0,CEILING(MIN(H15,('Proforma (monthly)'!C14/E15)),1),0))</f>
        <v>0</v>
      </c>
      <c r="M30" s="52">
        <f>IF(B30&lt;G16,0,IF(MIN(H16,(L30/E16))&gt;0,CEILING(MIN(H16,(L30/E16)),1),0))</f>
        <v>0</v>
      </c>
      <c r="N30" s="52">
        <f>IF(B30&lt;G17,0,IF(MIN(H17,(E17+MAX(0,B30-G17)/12*F17))&gt;0,CEILING(MIN(H17,(E17+MAX(0,B30-G17)/12*F17)),1),0))</f>
        <v>0</v>
      </c>
      <c r="O30" s="52">
        <f t="shared" si="1"/>
        <v>3</v>
      </c>
      <c r="P30" s="52">
        <f>IF(B30&lt;G18,0,IF(MIN(H18,(O30/E18))&gt;0,CEILING(MIN(H18,(O30/E18)),1),0))</f>
        <v>0</v>
      </c>
      <c r="Q30" s="14">
        <f>(F30*D9*IF(B30&gt;=G9+24,Staffing!B6,1)+G30*D10*IF(B30&gt;=G10+24,Staffing!B6,1)+H30*D11*IF(B30&gt;=G11+24,Staffing!B6,1)+I30*D12*IF(B30&gt;=G12+24,Staffing!B6,1)+J30*D13*IF(B30&gt;=G13+24,Staffing!B6,1)+K30*D14*IF(B30&gt;=G14+24,Staffing!B6,1))/12</f>
        <v>0</v>
      </c>
      <c r="R30" s="14">
        <f>(C30*D6*IF(B30&gt;=G6+24,Staffing!B6,1)+D30*D7*IF(B30&gt;=G7+24,Staffing!B6,1)+E30*D8*IF(B30&gt;=G8+24,Staffing!B6,1)+L30*D15*IF(B30&gt;=G15+24,Staffing!B6,1)+M30*D16*IF(B30&gt;=G16+24,Staffing!B6,1)+N30*D17*IF(B30&gt;=G17+24,Staffing!B6,1)+P30*D18*IF(B30&gt;=G18+24,Staffing!B6,1))/12</f>
        <v>45833.333333333336</v>
      </c>
      <c r="S30" s="52">
        <f t="shared" si="2"/>
        <v>3</v>
      </c>
    </row>
    <row r="31" spans="1:19" x14ac:dyDescent="0.25">
      <c r="A31" s="51">
        <v>10</v>
      </c>
      <c r="B31" s="52">
        <f t="shared" si="0"/>
        <v>9</v>
      </c>
      <c r="C31" s="52">
        <f>IF(B31&lt;G6,0,IF(MIN(H6,(E6+MAX(0,B31-G6)/12*F6))&gt;0,CEILING(MIN(H6,(E6+MAX(0,B31-G6)/12*F6)),1),0))</f>
        <v>2</v>
      </c>
      <c r="D31" s="52">
        <f>IF(B31&lt;G7,0,IF(MIN(H7,(E7+MAX(0,B31-G7)/12*F7))&gt;0,CEILING(MIN(H7,(E7+MAX(0,B31-G7)/12*F7)),1),0))</f>
        <v>1</v>
      </c>
      <c r="E31" s="52">
        <f>IF(B31&lt;G8,0,IF(MIN(H8,(E8+MAX(0,B31-G8)/12*F8))&gt;0,CEILING(MIN(H8,(E8+MAX(0,B31-G8)/12*F8)),1),0))</f>
        <v>0</v>
      </c>
      <c r="F31" s="52">
        <f>IF(B31&lt;G9,0,IF(MIN(H9,('Proforma (monthly)'!C15/E9))&gt;0,CEILING(MIN(H9,('Proforma (monthly)'!C15/E9)),1),0))</f>
        <v>0</v>
      </c>
      <c r="G31" s="52">
        <f>IF(B31&lt;G10,0,IF(MIN(H10,('Proforma (monthly)'!E15/E10))&gt;0,CEILING(MIN(H10,('Proforma (monthly)'!E15/E10)),1),0))</f>
        <v>0</v>
      </c>
      <c r="H31" s="52">
        <f>IF(B31&lt;G11,0,IF(MIN(H11,('Proforma (monthly)'!E15/E11))&gt;0,CEILING(MIN(H11,('Proforma (monthly)'!E15/E11)),1),0))</f>
        <v>0</v>
      </c>
      <c r="I31" s="52">
        <f>IF(B31&lt;G12,0,IF(MIN(H12,('Proforma (monthly)'!E15/E12))&gt;0,CEILING(MIN(H12,('Proforma (monthly)'!E15/E12)),1),0))</f>
        <v>0</v>
      </c>
      <c r="J31" s="52">
        <f>IF(B31&lt;G13,0,IF(MIN(H13,('Proforma (monthly)'!E15/E13)*CHOOSE(MIN(5,MAX(1,ROUNDUP((A31-'Growth &amp; timing'!B5)/12,0))),$L$3,$M$3,$N$3,$O$3,$P$3))&gt;0,CEILING(MIN(H13,('Proforma (monthly)'!E15/E13)*CHOOSE(MIN(5,MAX(1,ROUNDUP((A31-'Growth &amp; timing'!B5)/12,0))),$L$3,$M$3,$N$3,$O$3,$P$3)),1),0))</f>
        <v>0</v>
      </c>
      <c r="K31" s="52">
        <f>IF(B31&lt;G14,0,IF(MIN(H14,('Proforma (monthly)'!E15/E14))&gt;0,CEILING(MIN(H14,('Proforma (monthly)'!E15/E14)),1),0))</f>
        <v>0</v>
      </c>
      <c r="L31" s="52">
        <f>IF(B31&lt;G15,0,IF(MIN(H15,('Proforma (monthly)'!C15/E15))&gt;0,CEILING(MIN(H15,('Proforma (monthly)'!C15/E15)),1),0))</f>
        <v>0</v>
      </c>
      <c r="M31" s="52">
        <f>IF(B31&lt;G16,0,IF(MIN(H16,(L31/E16))&gt;0,CEILING(MIN(H16,(L31/E16)),1),0))</f>
        <v>0</v>
      </c>
      <c r="N31" s="52">
        <f>IF(B31&lt;G17,0,IF(MIN(H17,(E17+MAX(0,B31-G17)/12*F17))&gt;0,CEILING(MIN(H17,(E17+MAX(0,B31-G17)/12*F17)),1),0))</f>
        <v>0</v>
      </c>
      <c r="O31" s="52">
        <f t="shared" si="1"/>
        <v>3</v>
      </c>
      <c r="P31" s="52">
        <f>IF(B31&lt;G18,0,IF(MIN(H18,(O31/E18))&gt;0,CEILING(MIN(H18,(O31/E18)),1),0))</f>
        <v>0</v>
      </c>
      <c r="Q31" s="14">
        <f>(F31*D9*IF(B31&gt;=G9+24,Staffing!B6,1)+G31*D10*IF(B31&gt;=G10+24,Staffing!B6,1)+H31*D11*IF(B31&gt;=G11+24,Staffing!B6,1)+I31*D12*IF(B31&gt;=G12+24,Staffing!B6,1)+J31*D13*IF(B31&gt;=G13+24,Staffing!B6,1)+K31*D14*IF(B31&gt;=G14+24,Staffing!B6,1))/12</f>
        <v>0</v>
      </c>
      <c r="R31" s="14">
        <f>(C31*D6*IF(B31&gt;=G6+24,Staffing!B6,1)+D31*D7*IF(B31&gt;=G7+24,Staffing!B6,1)+E31*D8*IF(B31&gt;=G8+24,Staffing!B6,1)+L31*D15*IF(B31&gt;=G15+24,Staffing!B6,1)+M31*D16*IF(B31&gt;=G16+24,Staffing!B6,1)+N31*D17*IF(B31&gt;=G17+24,Staffing!B6,1)+P31*D18*IF(B31&gt;=G18+24,Staffing!B6,1))/12</f>
        <v>45833.333333333336</v>
      </c>
      <c r="S31" s="52">
        <f t="shared" si="2"/>
        <v>3</v>
      </c>
    </row>
    <row r="32" spans="1:19" x14ac:dyDescent="0.25">
      <c r="A32" s="51">
        <v>11</v>
      </c>
      <c r="B32" s="52">
        <f t="shared" si="0"/>
        <v>10</v>
      </c>
      <c r="C32" s="52">
        <f>IF(B32&lt;G6,0,IF(MIN(H6,(E6+MAX(0,B32-G6)/12*F6))&gt;0,CEILING(MIN(H6,(E6+MAX(0,B32-G6)/12*F6)),1),0))</f>
        <v>2</v>
      </c>
      <c r="D32" s="52">
        <f>IF(B32&lt;G7,0,IF(MIN(H7,(E7+MAX(0,B32-G7)/12*F7))&gt;0,CEILING(MIN(H7,(E7+MAX(0,B32-G7)/12*F7)),1),0))</f>
        <v>1</v>
      </c>
      <c r="E32" s="52">
        <f>IF(B32&lt;G8,0,IF(MIN(H8,(E8+MAX(0,B32-G8)/12*F8))&gt;0,CEILING(MIN(H8,(E8+MAX(0,B32-G8)/12*F8)),1),0))</f>
        <v>0</v>
      </c>
      <c r="F32" s="52">
        <f>IF(B32&lt;G9,0,IF(MIN(H9,('Proforma (monthly)'!C16/E9))&gt;0,CEILING(MIN(H9,('Proforma (monthly)'!C16/E9)),1),0))</f>
        <v>0</v>
      </c>
      <c r="G32" s="52">
        <f>IF(B32&lt;G10,0,IF(MIN(H10,('Proforma (monthly)'!E16/E10))&gt;0,CEILING(MIN(H10,('Proforma (monthly)'!E16/E10)),1),0))</f>
        <v>0</v>
      </c>
      <c r="H32" s="52">
        <f>IF(B32&lt;G11,0,IF(MIN(H11,('Proforma (monthly)'!E16/E11))&gt;0,CEILING(MIN(H11,('Proforma (monthly)'!E16/E11)),1),0))</f>
        <v>0</v>
      </c>
      <c r="I32" s="52">
        <f>IF(B32&lt;G12,0,IF(MIN(H12,('Proforma (monthly)'!E16/E12))&gt;0,CEILING(MIN(H12,('Proforma (monthly)'!E16/E12)),1),0))</f>
        <v>0</v>
      </c>
      <c r="J32" s="52">
        <f>IF(B32&lt;G13,0,IF(MIN(H13,('Proforma (monthly)'!E16/E13)*CHOOSE(MIN(5,MAX(1,ROUNDUP((A32-'Growth &amp; timing'!B5)/12,0))),$L$3,$M$3,$N$3,$O$3,$P$3))&gt;0,CEILING(MIN(H13,('Proforma (monthly)'!E16/E13)*CHOOSE(MIN(5,MAX(1,ROUNDUP((A32-'Growth &amp; timing'!B5)/12,0))),$L$3,$M$3,$N$3,$O$3,$P$3)),1),0))</f>
        <v>0</v>
      </c>
      <c r="K32" s="52">
        <f>IF(B32&lt;G14,0,IF(MIN(H14,('Proforma (monthly)'!E16/E14))&gt;0,CEILING(MIN(H14,('Proforma (monthly)'!E16/E14)),1),0))</f>
        <v>0</v>
      </c>
      <c r="L32" s="52">
        <f>IF(B32&lt;G15,0,IF(MIN(H15,('Proforma (monthly)'!C16/E15))&gt;0,CEILING(MIN(H15,('Proforma (monthly)'!C16/E15)),1),0))</f>
        <v>0</v>
      </c>
      <c r="M32" s="52">
        <f>IF(B32&lt;G16,0,IF(MIN(H16,(L32/E16))&gt;0,CEILING(MIN(H16,(L32/E16)),1),0))</f>
        <v>0</v>
      </c>
      <c r="N32" s="52">
        <f>IF(B32&lt;G17,0,IF(MIN(H17,(E17+MAX(0,B32-G17)/12*F17))&gt;0,CEILING(MIN(H17,(E17+MAX(0,B32-G17)/12*F17)),1),0))</f>
        <v>2</v>
      </c>
      <c r="O32" s="52">
        <f t="shared" si="1"/>
        <v>5</v>
      </c>
      <c r="P32" s="52">
        <f>IF(B32&lt;G18,0,IF(MIN(H18,(O32/E18))&gt;0,CEILING(MIN(H18,(O32/E18)),1),0))</f>
        <v>0</v>
      </c>
      <c r="Q32" s="14">
        <f>(F32*D9*IF(B32&gt;=G9+24,Staffing!B6,1)+G32*D10*IF(B32&gt;=G10+24,Staffing!B6,1)+H32*D11*IF(B32&gt;=G11+24,Staffing!B6,1)+I32*D12*IF(B32&gt;=G12+24,Staffing!B6,1)+J32*D13*IF(B32&gt;=G13+24,Staffing!B6,1)+K32*D14*IF(B32&gt;=G14+24,Staffing!B6,1))/12</f>
        <v>0</v>
      </c>
      <c r="R32" s="14">
        <f>(C32*D6*IF(B32&gt;=G6+24,Staffing!B6,1)+D32*D7*IF(B32&gt;=G7+24,Staffing!B6,1)+E32*D8*IF(B32&gt;=G8+24,Staffing!B6,1)+L32*D15*IF(B32&gt;=G15+24,Staffing!B6,1)+M32*D16*IF(B32&gt;=G16+24,Staffing!B6,1)+N32*D17*IF(B32&gt;=G17+24,Staffing!B6,1)+P32*D18*IF(B32&gt;=G18+24,Staffing!B6,1))/12</f>
        <v>75833.333333333328</v>
      </c>
      <c r="S32" s="52">
        <f t="shared" si="2"/>
        <v>5</v>
      </c>
    </row>
    <row r="33" spans="1:19" x14ac:dyDescent="0.25">
      <c r="A33" s="51">
        <v>12</v>
      </c>
      <c r="B33" s="52">
        <f t="shared" si="0"/>
        <v>11</v>
      </c>
      <c r="C33" s="52">
        <f>IF(B33&lt;G6,0,IF(MIN(H6,(E6+MAX(0,B33-G6)/12*F6))&gt;0,CEILING(MIN(H6,(E6+MAX(0,B33-G6)/12*F6)),1),0))</f>
        <v>2</v>
      </c>
      <c r="D33" s="52">
        <f>IF(B33&lt;G7,0,IF(MIN(H7,(E7+MAX(0,B33-G7)/12*F7))&gt;0,CEILING(MIN(H7,(E7+MAX(0,B33-G7)/12*F7)),1),0))</f>
        <v>1</v>
      </c>
      <c r="E33" s="52">
        <f>IF(B33&lt;G8,0,IF(MIN(H8,(E8+MAX(0,B33-G8)/12*F8))&gt;0,CEILING(MIN(H8,(E8+MAX(0,B33-G8)/12*F8)),1),0))</f>
        <v>0</v>
      </c>
      <c r="F33" s="52">
        <f>IF(B33&lt;G9,0,IF(MIN(H9,('Proforma (monthly)'!C17/E9))&gt;0,CEILING(MIN(H9,('Proforma (monthly)'!C17/E9)),1),0))</f>
        <v>0</v>
      </c>
      <c r="G33" s="52">
        <f>IF(B33&lt;G10,0,IF(MIN(H10,('Proforma (monthly)'!E17/E10))&gt;0,CEILING(MIN(H10,('Proforma (monthly)'!E17/E10)),1),0))</f>
        <v>0</v>
      </c>
      <c r="H33" s="52">
        <f>IF(B33&lt;G11,0,IF(MIN(H11,('Proforma (monthly)'!E17/E11))&gt;0,CEILING(MIN(H11,('Proforma (monthly)'!E17/E11)),1),0))</f>
        <v>0</v>
      </c>
      <c r="I33" s="52">
        <f>IF(B33&lt;G12,0,IF(MIN(H12,('Proforma (monthly)'!E17/E12))&gt;0,CEILING(MIN(H12,('Proforma (monthly)'!E17/E12)),1),0))</f>
        <v>0</v>
      </c>
      <c r="J33" s="52">
        <f>IF(B33&lt;G13,0,IF(MIN(H13,('Proforma (monthly)'!E17/E13)*CHOOSE(MIN(5,MAX(1,ROUNDUP((A33-'Growth &amp; timing'!B5)/12,0))),$L$3,$M$3,$N$3,$O$3,$P$3))&gt;0,CEILING(MIN(H13,('Proforma (monthly)'!E17/E13)*CHOOSE(MIN(5,MAX(1,ROUNDUP((A33-'Growth &amp; timing'!B5)/12,0))),$L$3,$M$3,$N$3,$O$3,$P$3)),1),0))</f>
        <v>0</v>
      </c>
      <c r="K33" s="52">
        <f>IF(B33&lt;G14,0,IF(MIN(H14,('Proforma (monthly)'!E17/E14))&gt;0,CEILING(MIN(H14,('Proforma (monthly)'!E17/E14)),1),0))</f>
        <v>0</v>
      </c>
      <c r="L33" s="52">
        <f>IF(B33&lt;G15,0,IF(MIN(H15,('Proforma (monthly)'!C17/E15))&gt;0,CEILING(MIN(H15,('Proforma (monthly)'!C17/E15)),1),0))</f>
        <v>0</v>
      </c>
      <c r="M33" s="52">
        <f>IF(B33&lt;G16,0,IF(MIN(H16,(L33/E16))&gt;0,CEILING(MIN(H16,(L33/E16)),1),0))</f>
        <v>0</v>
      </c>
      <c r="N33" s="52">
        <f>IF(B33&lt;G17,0,IF(MIN(H17,(E17+MAX(0,B33-G17)/12*F17))&gt;0,CEILING(MIN(H17,(E17+MAX(0,B33-G17)/12*F17)),1),0))</f>
        <v>3</v>
      </c>
      <c r="O33" s="52">
        <f t="shared" si="1"/>
        <v>6</v>
      </c>
      <c r="P33" s="52">
        <f>IF(B33&lt;G18,0,IF(MIN(H18,(O33/E18))&gt;0,CEILING(MIN(H18,(O33/E18)),1),0))</f>
        <v>0</v>
      </c>
      <c r="Q33" s="14">
        <f>(F33*D9*IF(B33&gt;=G9+24,Staffing!B6,1)+G33*D10*IF(B33&gt;=G10+24,Staffing!B6,1)+H33*D11*IF(B33&gt;=G11+24,Staffing!B6,1)+I33*D12*IF(B33&gt;=G12+24,Staffing!B6,1)+J33*D13*IF(B33&gt;=G13+24,Staffing!B6,1)+K33*D14*IF(B33&gt;=G14+24,Staffing!B6,1))/12</f>
        <v>0</v>
      </c>
      <c r="R33" s="14">
        <f>(C33*D6*IF(B33&gt;=G6+24,Staffing!B6,1)+D33*D7*IF(B33&gt;=G7+24,Staffing!B6,1)+E33*D8*IF(B33&gt;=G8+24,Staffing!B6,1)+L33*D15*IF(B33&gt;=G15+24,Staffing!B6,1)+M33*D16*IF(B33&gt;=G16+24,Staffing!B6,1)+N33*D17*IF(B33&gt;=G17+24,Staffing!B6,1)+P33*D18*IF(B33&gt;=G18+24,Staffing!B6,1))/12</f>
        <v>90833.333333333328</v>
      </c>
      <c r="S33" s="52">
        <f t="shared" si="2"/>
        <v>6</v>
      </c>
    </row>
    <row r="34" spans="1:19" x14ac:dyDescent="0.25">
      <c r="A34" s="51">
        <v>13</v>
      </c>
      <c r="B34" s="52">
        <f t="shared" si="0"/>
        <v>12</v>
      </c>
      <c r="C34" s="52">
        <f>IF(B34&lt;G6,0,IF(MIN(H6,(E6+MAX(0,B34-G6)/12*F6))&gt;0,CEILING(MIN(H6,(E6+MAX(0,B34-G6)/12*F6)),1),0))</f>
        <v>2</v>
      </c>
      <c r="D34" s="52">
        <f>IF(B34&lt;G7,0,IF(MIN(H7,(E7+MAX(0,B34-G7)/12*F7))&gt;0,CEILING(MIN(H7,(E7+MAX(0,B34-G7)/12*F7)),1),0))</f>
        <v>1</v>
      </c>
      <c r="E34" s="52">
        <f>IF(B34&lt;G8,0,IF(MIN(H8,(E8+MAX(0,B34-G8)/12*F8))&gt;0,CEILING(MIN(H8,(E8+MAX(0,B34-G8)/12*F8)),1),0))</f>
        <v>0</v>
      </c>
      <c r="F34" s="52">
        <f>IF(B34&lt;G9,0,IF(MIN(H9,('Proforma (monthly)'!C18/E9))&gt;0,CEILING(MIN(H9,('Proforma (monthly)'!C18/E9)),1),0))</f>
        <v>0</v>
      </c>
      <c r="G34" s="52">
        <f>IF(B34&lt;G10,0,IF(MIN(H10,('Proforma (monthly)'!E18/E10))&gt;0,CEILING(MIN(H10,('Proforma (monthly)'!E18/E10)),1),0))</f>
        <v>0</v>
      </c>
      <c r="H34" s="52">
        <f>IF(B34&lt;G11,0,IF(MIN(H11,('Proforma (monthly)'!E18/E11))&gt;0,CEILING(MIN(H11,('Proforma (monthly)'!E18/E11)),1),0))</f>
        <v>0</v>
      </c>
      <c r="I34" s="52">
        <f>IF(B34&lt;G12,0,IF(MIN(H12,('Proforma (monthly)'!E18/E12))&gt;0,CEILING(MIN(H12,('Proforma (monthly)'!E18/E12)),1),0))</f>
        <v>0</v>
      </c>
      <c r="J34" s="52">
        <f>IF(B34&lt;G13,0,IF(MIN(H13,('Proforma (monthly)'!E18/E13)*CHOOSE(MIN(5,MAX(1,ROUNDUP((A34-'Growth &amp; timing'!B5)/12,0))),$L$3,$M$3,$N$3,$O$3,$P$3))&gt;0,CEILING(MIN(H13,('Proforma (monthly)'!E18/E13)*CHOOSE(MIN(5,MAX(1,ROUNDUP((A34-'Growth &amp; timing'!B5)/12,0))),$L$3,$M$3,$N$3,$O$3,$P$3)),1),0))</f>
        <v>0</v>
      </c>
      <c r="K34" s="52">
        <f>IF(B34&lt;G14,0,IF(MIN(H14,('Proforma (monthly)'!E18/E14))&gt;0,CEILING(MIN(H14,('Proforma (monthly)'!E18/E14)),1),0))</f>
        <v>0</v>
      </c>
      <c r="L34" s="52">
        <f>IF(B34&lt;G15,0,IF(MIN(H15,('Proforma (monthly)'!C18/E15))&gt;0,CEILING(MIN(H15,('Proforma (monthly)'!C18/E15)),1),0))</f>
        <v>0</v>
      </c>
      <c r="M34" s="52">
        <f>IF(B34&lt;G16,0,IF(MIN(H16,(L34/E16))&gt;0,CEILING(MIN(H16,(L34/E16)),1),0))</f>
        <v>0</v>
      </c>
      <c r="N34" s="52">
        <f>IF(B34&lt;G17,0,IF(MIN(H17,(E17+MAX(0,B34-G17)/12*F17))&gt;0,CEILING(MIN(H17,(E17+MAX(0,B34-G17)/12*F17)),1),0))</f>
        <v>3</v>
      </c>
      <c r="O34" s="52">
        <f t="shared" si="1"/>
        <v>6</v>
      </c>
      <c r="P34" s="52">
        <f>IF(B34&lt;G18,0,IF(MIN(H18,(O34/E18))&gt;0,CEILING(MIN(H18,(O34/E18)),1),0))</f>
        <v>0</v>
      </c>
      <c r="Q34" s="14">
        <f>(F34*D9*IF(B34&gt;=G9+24,Staffing!B6,1)+G34*D10*IF(B34&gt;=G10+24,Staffing!B6,1)+H34*D11*IF(B34&gt;=G11+24,Staffing!B6,1)+I34*D12*IF(B34&gt;=G12+24,Staffing!B6,1)+J34*D13*IF(B34&gt;=G13+24,Staffing!B6,1)+K34*D14*IF(B34&gt;=G14+24,Staffing!B6,1))/12</f>
        <v>0</v>
      </c>
      <c r="R34" s="14">
        <f>(C34*D6*IF(B34&gt;=G6+24,Staffing!B6,1)+D34*D7*IF(B34&gt;=G7+24,Staffing!B6,1)+E34*D8*IF(B34&gt;=G8+24,Staffing!B6,1)+L34*D15*IF(B34&gt;=G15+24,Staffing!B6,1)+M34*D16*IF(B34&gt;=G16+24,Staffing!B6,1)+N34*D17*IF(B34&gt;=G17+24,Staffing!B6,1)+P34*D18*IF(B34&gt;=G18+24,Staffing!B6,1))/12</f>
        <v>90833.333333333328</v>
      </c>
      <c r="S34" s="52">
        <f t="shared" si="2"/>
        <v>6</v>
      </c>
    </row>
    <row r="35" spans="1:19" x14ac:dyDescent="0.25">
      <c r="A35" s="51">
        <v>14</v>
      </c>
      <c r="B35" s="52">
        <f t="shared" si="0"/>
        <v>13</v>
      </c>
      <c r="C35" s="52">
        <f>IF(B35&lt;G6,0,IF(MIN(H6,(E6+MAX(0,B35-G6)/12*F6))&gt;0,CEILING(MIN(H6,(E6+MAX(0,B35-G6)/12*F6)),1),0))</f>
        <v>2</v>
      </c>
      <c r="D35" s="52">
        <f>IF(B35&lt;G7,0,IF(MIN(H7,(E7+MAX(0,B35-G7)/12*F7))&gt;0,CEILING(MIN(H7,(E7+MAX(0,B35-G7)/12*F7)),1),0))</f>
        <v>2</v>
      </c>
      <c r="E35" s="52">
        <f>IF(B35&lt;G8,0,IF(MIN(H8,(E8+MAX(0,B35-G8)/12*F8))&gt;0,CEILING(MIN(H8,(E8+MAX(0,B35-G8)/12*F8)),1),0))</f>
        <v>0</v>
      </c>
      <c r="F35" s="52">
        <f>IF(B35&lt;G9,0,IF(MIN(H9,('Proforma (monthly)'!C19/E9))&gt;0,CEILING(MIN(H9,('Proforma (monthly)'!C19/E9)),1),0))</f>
        <v>0</v>
      </c>
      <c r="G35" s="52">
        <f>IF(B35&lt;G10,0,IF(MIN(H10,('Proforma (monthly)'!E19/E10))&gt;0,CEILING(MIN(H10,('Proforma (monthly)'!E19/E10)),1),0))</f>
        <v>0</v>
      </c>
      <c r="H35" s="52">
        <f>IF(B35&lt;G11,0,IF(MIN(H11,('Proforma (monthly)'!E19/E11))&gt;0,CEILING(MIN(H11,('Proforma (monthly)'!E19/E11)),1),0))</f>
        <v>0</v>
      </c>
      <c r="I35" s="52">
        <f>IF(B35&lt;G12,0,IF(MIN(H12,('Proforma (monthly)'!E19/E12))&gt;0,CEILING(MIN(H12,('Proforma (monthly)'!E19/E12)),1),0))</f>
        <v>0</v>
      </c>
      <c r="J35" s="52">
        <f>IF(B35&lt;G13,0,IF(MIN(H13,('Proforma (monthly)'!E19/E13)*CHOOSE(MIN(5,MAX(1,ROUNDUP((A35-'Growth &amp; timing'!B5)/12,0))),$L$3,$M$3,$N$3,$O$3,$P$3))&gt;0,CEILING(MIN(H13,('Proforma (monthly)'!E19/E13)*CHOOSE(MIN(5,MAX(1,ROUNDUP((A35-'Growth &amp; timing'!B5)/12,0))),$L$3,$M$3,$N$3,$O$3,$P$3)),1),0))</f>
        <v>0</v>
      </c>
      <c r="K35" s="52">
        <f>IF(B35&lt;G14,0,IF(MIN(H14,('Proforma (monthly)'!E19/E14))&gt;0,CEILING(MIN(H14,('Proforma (monthly)'!E19/E14)),1),0))</f>
        <v>0</v>
      </c>
      <c r="L35" s="52">
        <f>IF(B35&lt;G15,0,IF(MIN(H15,('Proforma (monthly)'!C19/E15))&gt;0,CEILING(MIN(H15,('Proforma (monthly)'!C19/E15)),1),0))</f>
        <v>0</v>
      </c>
      <c r="M35" s="52">
        <f>IF(B35&lt;G16,0,IF(MIN(H16,(L35/E16))&gt;0,CEILING(MIN(H16,(L35/E16)),1),0))</f>
        <v>0</v>
      </c>
      <c r="N35" s="52">
        <f>IF(B35&lt;G17,0,IF(MIN(H17,(E17+MAX(0,B35-G17)/12*F17))&gt;0,CEILING(MIN(H17,(E17+MAX(0,B35-G17)/12*F17)),1),0))</f>
        <v>3</v>
      </c>
      <c r="O35" s="52">
        <f t="shared" si="1"/>
        <v>7</v>
      </c>
      <c r="P35" s="52">
        <f>IF(B35&lt;G18,0,IF(MIN(H18,(O35/E18))&gt;0,CEILING(MIN(H18,(O35/E18)),1),0))</f>
        <v>0</v>
      </c>
      <c r="Q35" s="14">
        <f>(F35*D9*IF(B35&gt;=G9+24,Staffing!B6,1)+G35*D10*IF(B35&gt;=G10+24,Staffing!B6,1)+H35*D11*IF(B35&gt;=G11+24,Staffing!B6,1)+I35*D12*IF(B35&gt;=G12+24,Staffing!B6,1)+J35*D13*IF(B35&gt;=G13+24,Staffing!B6,1)+K35*D14*IF(B35&gt;=G14+24,Staffing!B6,1))/12</f>
        <v>0</v>
      </c>
      <c r="R35" s="14">
        <f>(C35*D6*IF(B35&gt;=G6+24,Staffing!B6,1)+D35*D7*IF(B35&gt;=G7+24,Staffing!B6,1)+E35*D8*IF(B35&gt;=G8+24,Staffing!B6,1)+L35*D15*IF(B35&gt;=G15+24,Staffing!B6,1)+M35*D16*IF(B35&gt;=G16+24,Staffing!B6,1)+N35*D17*IF(B35&gt;=G17+24,Staffing!B6,1)+P35*D18*IF(B35&gt;=G18+24,Staffing!B6,1))/12</f>
        <v>103333.33333333333</v>
      </c>
      <c r="S35" s="52">
        <f t="shared" si="2"/>
        <v>7</v>
      </c>
    </row>
    <row r="36" spans="1:19" x14ac:dyDescent="0.25">
      <c r="A36" s="51">
        <v>15</v>
      </c>
      <c r="B36" s="52">
        <f t="shared" si="0"/>
        <v>14</v>
      </c>
      <c r="C36" s="52">
        <f>IF(B36&lt;G6,0,IF(MIN(H6,(E6+MAX(0,B36-G6)/12*F6))&gt;0,CEILING(MIN(H6,(E6+MAX(0,B36-G6)/12*F6)),1),0))</f>
        <v>2</v>
      </c>
      <c r="D36" s="52">
        <f>IF(B36&lt;G7,0,IF(MIN(H7,(E7+MAX(0,B36-G7)/12*F7))&gt;0,CEILING(MIN(H7,(E7+MAX(0,B36-G7)/12*F7)),1),0))</f>
        <v>2</v>
      </c>
      <c r="E36" s="52">
        <f>IF(B36&lt;G8,0,IF(MIN(H8,(E8+MAX(0,B36-G8)/12*F8))&gt;0,CEILING(MIN(H8,(E8+MAX(0,B36-G8)/12*F8)),1),0))</f>
        <v>0</v>
      </c>
      <c r="F36" s="52">
        <f>IF(B36&lt;G9,0,IF(MIN(H9,('Proforma (monthly)'!C20/E9))&gt;0,CEILING(MIN(H9,('Proforma (monthly)'!C20/E9)),1),0))</f>
        <v>0</v>
      </c>
      <c r="G36" s="52">
        <f>IF(B36&lt;G10,0,IF(MIN(H10,('Proforma (monthly)'!E20/E10))&gt;0,CEILING(MIN(H10,('Proforma (monthly)'!E20/E10)),1),0))</f>
        <v>0</v>
      </c>
      <c r="H36" s="52">
        <f>IF(B36&lt;G11,0,IF(MIN(H11,('Proforma (monthly)'!E20/E11))&gt;0,CEILING(MIN(H11,('Proforma (monthly)'!E20/E11)),1),0))</f>
        <v>0</v>
      </c>
      <c r="I36" s="52">
        <f>IF(B36&lt;G12,0,IF(MIN(H12,('Proforma (monthly)'!E20/E12))&gt;0,CEILING(MIN(H12,('Proforma (monthly)'!E20/E12)),1),0))</f>
        <v>0</v>
      </c>
      <c r="J36" s="52">
        <f>IF(B36&lt;G13,0,IF(MIN(H13,('Proforma (monthly)'!E20/E13)*CHOOSE(MIN(5,MAX(1,ROUNDUP((A36-'Growth &amp; timing'!B5)/12,0))),$L$3,$M$3,$N$3,$O$3,$P$3))&gt;0,CEILING(MIN(H13,('Proforma (monthly)'!E20/E13)*CHOOSE(MIN(5,MAX(1,ROUNDUP((A36-'Growth &amp; timing'!B5)/12,0))),$L$3,$M$3,$N$3,$O$3,$P$3)),1),0))</f>
        <v>0</v>
      </c>
      <c r="K36" s="52">
        <f>IF(B36&lt;G14,0,IF(MIN(H14,('Proforma (monthly)'!E20/E14))&gt;0,CEILING(MIN(H14,('Proforma (monthly)'!E20/E14)),1),0))</f>
        <v>0</v>
      </c>
      <c r="L36" s="52">
        <f>IF(B36&lt;G15,0,IF(MIN(H15,('Proforma (monthly)'!C20/E15))&gt;0,CEILING(MIN(H15,('Proforma (monthly)'!C20/E15)),1),0))</f>
        <v>0</v>
      </c>
      <c r="M36" s="52">
        <f>IF(B36&lt;G16,0,IF(MIN(H16,(L36/E16))&gt;0,CEILING(MIN(H16,(L36/E16)),1),0))</f>
        <v>0</v>
      </c>
      <c r="N36" s="52">
        <f>IF(B36&lt;G17,0,IF(MIN(H17,(E17+MAX(0,B36-G17)/12*F17))&gt;0,CEILING(MIN(H17,(E17+MAX(0,B36-G17)/12*F17)),1),0))</f>
        <v>3</v>
      </c>
      <c r="O36" s="52">
        <f t="shared" si="1"/>
        <v>7</v>
      </c>
      <c r="P36" s="52">
        <f>IF(B36&lt;G18,0,IF(MIN(H18,(O36/E18))&gt;0,CEILING(MIN(H18,(O36/E18)),1),0))</f>
        <v>0</v>
      </c>
      <c r="Q36" s="14">
        <f>(F36*D9*IF(B36&gt;=G9+24,Staffing!B6,1)+G36*D10*IF(B36&gt;=G10+24,Staffing!B6,1)+H36*D11*IF(B36&gt;=G11+24,Staffing!B6,1)+I36*D12*IF(B36&gt;=G12+24,Staffing!B6,1)+J36*D13*IF(B36&gt;=G13+24,Staffing!B6,1)+K36*D14*IF(B36&gt;=G14+24,Staffing!B6,1))/12</f>
        <v>0</v>
      </c>
      <c r="R36" s="14">
        <f>(C36*D6*IF(B36&gt;=G6+24,Staffing!B6,1)+D36*D7*IF(B36&gt;=G7+24,Staffing!B6,1)+E36*D8*IF(B36&gt;=G8+24,Staffing!B6,1)+L36*D15*IF(B36&gt;=G15+24,Staffing!B6,1)+M36*D16*IF(B36&gt;=G16+24,Staffing!B6,1)+N36*D17*IF(B36&gt;=G17+24,Staffing!B6,1)+P36*D18*IF(B36&gt;=G18+24,Staffing!B6,1))/12</f>
        <v>103333.33333333333</v>
      </c>
      <c r="S36" s="52">
        <f t="shared" si="2"/>
        <v>7</v>
      </c>
    </row>
    <row r="37" spans="1:19" x14ac:dyDescent="0.25">
      <c r="A37" s="51">
        <v>16</v>
      </c>
      <c r="B37" s="52">
        <f t="shared" si="0"/>
        <v>15</v>
      </c>
      <c r="C37" s="52">
        <f>IF(B37&lt;G6,0,IF(MIN(H6,(E6+MAX(0,B37-G6)/12*F6))&gt;0,CEILING(MIN(H6,(E6+MAX(0,B37-G6)/12*F6)),1),0))</f>
        <v>2</v>
      </c>
      <c r="D37" s="52">
        <f>IF(B37&lt;G7,0,IF(MIN(H7,(E7+MAX(0,B37-G7)/12*F7))&gt;0,CEILING(MIN(H7,(E7+MAX(0,B37-G7)/12*F7)),1),0))</f>
        <v>2</v>
      </c>
      <c r="E37" s="52">
        <f>IF(B37&lt;G8,0,IF(MIN(H8,(E8+MAX(0,B37-G8)/12*F8))&gt;0,CEILING(MIN(H8,(E8+MAX(0,B37-G8)/12*F8)),1),0))</f>
        <v>0</v>
      </c>
      <c r="F37" s="52">
        <f>IF(B37&lt;G9,0,IF(MIN(H9,('Proforma (monthly)'!C21/E9))&gt;0,CEILING(MIN(H9,('Proforma (monthly)'!C21/E9)),1),0))</f>
        <v>0</v>
      </c>
      <c r="G37" s="52">
        <f>IF(B37&lt;G10,0,IF(MIN(H10,('Proforma (monthly)'!E21/E10))&gt;0,CEILING(MIN(H10,('Proforma (monthly)'!E21/E10)),1),0))</f>
        <v>0</v>
      </c>
      <c r="H37" s="52">
        <f>IF(B37&lt;G11,0,IF(MIN(H11,('Proforma (monthly)'!E21/E11))&gt;0,CEILING(MIN(H11,('Proforma (monthly)'!E21/E11)),1),0))</f>
        <v>0</v>
      </c>
      <c r="I37" s="52">
        <f>IF(B37&lt;G12,0,IF(MIN(H12,('Proforma (monthly)'!E21/E12))&gt;0,CEILING(MIN(H12,('Proforma (monthly)'!E21/E12)),1),0))</f>
        <v>0</v>
      </c>
      <c r="J37" s="52">
        <f>IF(B37&lt;G13,0,IF(MIN(H13,('Proforma (monthly)'!E21/E13)*CHOOSE(MIN(5,MAX(1,ROUNDUP((A37-'Growth &amp; timing'!B5)/12,0))),$L$3,$M$3,$N$3,$O$3,$P$3))&gt;0,CEILING(MIN(H13,('Proforma (monthly)'!E21/E13)*CHOOSE(MIN(5,MAX(1,ROUNDUP((A37-'Growth &amp; timing'!B5)/12,0))),$L$3,$M$3,$N$3,$O$3,$P$3)),1),0))</f>
        <v>0</v>
      </c>
      <c r="K37" s="52">
        <f>IF(B37&lt;G14,0,IF(MIN(H14,('Proforma (monthly)'!E21/E14))&gt;0,CEILING(MIN(H14,('Proforma (monthly)'!E21/E14)),1),0))</f>
        <v>0</v>
      </c>
      <c r="L37" s="52">
        <f>IF(B37&lt;G15,0,IF(MIN(H15,('Proforma (monthly)'!C21/E15))&gt;0,CEILING(MIN(H15,('Proforma (monthly)'!C21/E15)),1),0))</f>
        <v>0</v>
      </c>
      <c r="M37" s="52">
        <f>IF(B37&lt;G16,0,IF(MIN(H16,(L37/E16))&gt;0,CEILING(MIN(H16,(L37/E16)),1),0))</f>
        <v>0</v>
      </c>
      <c r="N37" s="52">
        <f>IF(B37&lt;G17,0,IF(MIN(H17,(E17+MAX(0,B37-G17)/12*F17))&gt;0,CEILING(MIN(H17,(E17+MAX(0,B37-G17)/12*F17)),1),0))</f>
        <v>3</v>
      </c>
      <c r="O37" s="52">
        <f t="shared" si="1"/>
        <v>7</v>
      </c>
      <c r="P37" s="52">
        <f>IF(B37&lt;G18,0,IF(MIN(H18,(O37/E18))&gt;0,CEILING(MIN(H18,(O37/E18)),1),0))</f>
        <v>0</v>
      </c>
      <c r="Q37" s="14">
        <f>(F37*D9*IF(B37&gt;=G9+24,Staffing!B6,1)+G37*D10*IF(B37&gt;=G10+24,Staffing!B6,1)+H37*D11*IF(B37&gt;=G11+24,Staffing!B6,1)+I37*D12*IF(B37&gt;=G12+24,Staffing!B6,1)+J37*D13*IF(B37&gt;=G13+24,Staffing!B6,1)+K37*D14*IF(B37&gt;=G14+24,Staffing!B6,1))/12</f>
        <v>0</v>
      </c>
      <c r="R37" s="14">
        <f>(C37*D6*IF(B37&gt;=G6+24,Staffing!B6,1)+D37*D7*IF(B37&gt;=G7+24,Staffing!B6,1)+E37*D8*IF(B37&gt;=G8+24,Staffing!B6,1)+L37*D15*IF(B37&gt;=G15+24,Staffing!B6,1)+M37*D16*IF(B37&gt;=G16+24,Staffing!B6,1)+N37*D17*IF(B37&gt;=G17+24,Staffing!B6,1)+P37*D18*IF(B37&gt;=G18+24,Staffing!B6,1))/12</f>
        <v>103333.33333333333</v>
      </c>
      <c r="S37" s="52">
        <f t="shared" si="2"/>
        <v>7</v>
      </c>
    </row>
    <row r="38" spans="1:19" x14ac:dyDescent="0.25">
      <c r="A38" s="51">
        <v>17</v>
      </c>
      <c r="B38" s="52">
        <f t="shared" si="0"/>
        <v>16</v>
      </c>
      <c r="C38" s="52">
        <f>IF(B38&lt;G6,0,IF(MIN(H6,(E6+MAX(0,B38-G6)/12*F6))&gt;0,CEILING(MIN(H6,(E6+MAX(0,B38-G6)/12*F6)),1),0))</f>
        <v>2</v>
      </c>
      <c r="D38" s="52">
        <f>IF(B38&lt;G7,0,IF(MIN(H7,(E7+MAX(0,B38-G7)/12*F7))&gt;0,CEILING(MIN(H7,(E7+MAX(0,B38-G7)/12*F7)),1),0))</f>
        <v>2</v>
      </c>
      <c r="E38" s="52">
        <f>IF(B38&lt;G8,0,IF(MIN(H8,(E8+MAX(0,B38-G8)/12*F8))&gt;0,CEILING(MIN(H8,(E8+MAX(0,B38-G8)/12*F8)),1),0))</f>
        <v>0</v>
      </c>
      <c r="F38" s="52">
        <f>IF(B38&lt;G9,0,IF(MIN(H9,('Proforma (monthly)'!C22/E9))&gt;0,CEILING(MIN(H9,('Proforma (monthly)'!C22/E9)),1),0))</f>
        <v>1</v>
      </c>
      <c r="G38" s="52">
        <f>IF(B38&lt;G10,0,IF(MIN(H10,('Proforma (monthly)'!E22/E10))&gt;0,CEILING(MIN(H10,('Proforma (monthly)'!E22/E10)),1),0))</f>
        <v>0</v>
      </c>
      <c r="H38" s="52">
        <f>IF(B38&lt;G11,0,IF(MIN(H11,('Proforma (monthly)'!E22/E11))&gt;0,CEILING(MIN(H11,('Proforma (monthly)'!E22/E11)),1),0))</f>
        <v>0</v>
      </c>
      <c r="I38" s="52">
        <f>IF(B38&lt;G12,0,IF(MIN(H12,('Proforma (monthly)'!E22/E12))&gt;0,CEILING(MIN(H12,('Proforma (monthly)'!E22/E12)),1),0))</f>
        <v>0</v>
      </c>
      <c r="J38" s="52">
        <f>IF(B38&lt;G13,0,IF(MIN(H13,('Proforma (monthly)'!E22/E13)*CHOOSE(MIN(5,MAX(1,ROUNDUP((A38-'Growth &amp; timing'!B5)/12,0))),$L$3,$M$3,$N$3,$O$3,$P$3))&gt;0,CEILING(MIN(H13,('Proforma (monthly)'!E22/E13)*CHOOSE(MIN(5,MAX(1,ROUNDUP((A38-'Growth &amp; timing'!B5)/12,0))),$L$3,$M$3,$N$3,$O$3,$P$3)),1),0))</f>
        <v>0</v>
      </c>
      <c r="K38" s="52">
        <f>IF(B38&lt;G14,0,IF(MIN(H14,('Proforma (monthly)'!E22/E14))&gt;0,CEILING(MIN(H14,('Proforma (monthly)'!E22/E14)),1),0))</f>
        <v>0</v>
      </c>
      <c r="L38" s="52">
        <f>IF(B38&lt;G15,0,IF(MIN(H15,('Proforma (monthly)'!C22/E15))&gt;0,CEILING(MIN(H15,('Proforma (monthly)'!C22/E15)),1),0))</f>
        <v>0</v>
      </c>
      <c r="M38" s="52">
        <f>IF(B38&lt;G16,0,IF(MIN(H16,(L38/E16))&gt;0,CEILING(MIN(H16,(L38/E16)),1),0))</f>
        <v>0</v>
      </c>
      <c r="N38" s="52">
        <f>IF(B38&lt;G17,0,IF(MIN(H17,(E17+MAX(0,B38-G17)/12*F17))&gt;0,CEILING(MIN(H17,(E17+MAX(0,B38-G17)/12*F17)),1),0))</f>
        <v>3</v>
      </c>
      <c r="O38" s="52">
        <f t="shared" si="1"/>
        <v>8</v>
      </c>
      <c r="P38" s="52">
        <f>IF(B38&lt;G18,0,IF(MIN(H18,(O38/E18))&gt;0,CEILING(MIN(H18,(O38/E18)),1),0))</f>
        <v>0</v>
      </c>
      <c r="Q38" s="14">
        <f>(F38*D9*IF(B38&gt;=G9+24,Staffing!B6,1)+G38*D10*IF(B38&gt;=G10+24,Staffing!B6,1)+H38*D11*IF(B38&gt;=G11+24,Staffing!B6,1)+I38*D12*IF(B38&gt;=G12+24,Staffing!B6,1)+J38*D13*IF(B38&gt;=G13+24,Staffing!B6,1)+K38*D14*IF(B38&gt;=G14+24,Staffing!B6,1))/12</f>
        <v>7500</v>
      </c>
      <c r="R38" s="14">
        <f>(C38*D6*IF(B38&gt;=G6+24,Staffing!B6,1)+D38*D7*IF(B38&gt;=G7+24,Staffing!B6,1)+E38*D8*IF(B38&gt;=G8+24,Staffing!B6,1)+L38*D15*IF(B38&gt;=G15+24,Staffing!B6,1)+M38*D16*IF(B38&gt;=G16+24,Staffing!B6,1)+N38*D17*IF(B38&gt;=G17+24,Staffing!B6,1)+P38*D18*IF(B38&gt;=G18+24,Staffing!B6,1))/12</f>
        <v>103333.33333333333</v>
      </c>
      <c r="S38" s="52">
        <f t="shared" si="2"/>
        <v>8</v>
      </c>
    </row>
    <row r="39" spans="1:19" x14ac:dyDescent="0.25">
      <c r="A39" s="51">
        <v>18</v>
      </c>
      <c r="B39" s="52">
        <f t="shared" si="0"/>
        <v>17</v>
      </c>
      <c r="C39" s="52">
        <f>IF(B39&lt;G6,0,IF(MIN(H6,(E6+MAX(0,B39-G6)/12*F6))&gt;0,CEILING(MIN(H6,(E6+MAX(0,B39-G6)/12*F6)),1),0))</f>
        <v>3</v>
      </c>
      <c r="D39" s="52">
        <f>IF(B39&lt;G7,0,IF(MIN(H7,(E7+MAX(0,B39-G7)/12*F7))&gt;0,CEILING(MIN(H7,(E7+MAX(0,B39-G7)/12*F7)),1),0))</f>
        <v>2</v>
      </c>
      <c r="E39" s="52">
        <f>IF(B39&lt;G8,0,IF(MIN(H8,(E8+MAX(0,B39-G8)/12*F8))&gt;0,CEILING(MIN(H8,(E8+MAX(0,B39-G8)/12*F8)),1),0))</f>
        <v>0</v>
      </c>
      <c r="F39" s="52">
        <f>IF(B39&lt;G9,0,IF(MIN(H9,('Proforma (monthly)'!C23/E9))&gt;0,CEILING(MIN(H9,('Proforma (monthly)'!C23/E9)),1),0))</f>
        <v>1</v>
      </c>
      <c r="G39" s="52">
        <f>IF(B39&lt;G10,0,IF(MIN(H10,('Proforma (monthly)'!E23/E10))&gt;0,CEILING(MIN(H10,('Proforma (monthly)'!E23/E10)),1),0))</f>
        <v>0</v>
      </c>
      <c r="H39" s="52">
        <f>IF(B39&lt;G11,0,IF(MIN(H11,('Proforma (monthly)'!E23/E11))&gt;0,CEILING(MIN(H11,('Proforma (monthly)'!E23/E11)),1),0))</f>
        <v>0</v>
      </c>
      <c r="I39" s="52">
        <f>IF(B39&lt;G12,0,IF(MIN(H12,('Proforma (monthly)'!E23/E12))&gt;0,CEILING(MIN(H12,('Proforma (monthly)'!E23/E12)),1),0))</f>
        <v>0</v>
      </c>
      <c r="J39" s="52">
        <f>IF(B39&lt;G13,0,IF(MIN(H13,('Proforma (monthly)'!E23/E13)*CHOOSE(MIN(5,MAX(1,ROUNDUP((A39-'Growth &amp; timing'!B5)/12,0))),$L$3,$M$3,$N$3,$O$3,$P$3))&gt;0,CEILING(MIN(H13,('Proforma (monthly)'!E23/E13)*CHOOSE(MIN(5,MAX(1,ROUNDUP((A39-'Growth &amp; timing'!B5)/12,0))),$L$3,$M$3,$N$3,$O$3,$P$3)),1),0))</f>
        <v>0</v>
      </c>
      <c r="K39" s="52">
        <f>IF(B39&lt;G14,0,IF(MIN(H14,('Proforma (monthly)'!E23/E14))&gt;0,CEILING(MIN(H14,('Proforma (monthly)'!E23/E14)),1),0))</f>
        <v>0</v>
      </c>
      <c r="L39" s="52">
        <f>IF(B39&lt;G15,0,IF(MIN(H15,('Proforma (monthly)'!C23/E15))&gt;0,CEILING(MIN(H15,('Proforma (monthly)'!C23/E15)),1),0))</f>
        <v>0</v>
      </c>
      <c r="M39" s="52">
        <f>IF(B39&lt;G16,0,IF(MIN(H16,(L39/E16))&gt;0,CEILING(MIN(H16,(L39/E16)),1),0))</f>
        <v>0</v>
      </c>
      <c r="N39" s="52">
        <f>IF(B39&lt;G17,0,IF(MIN(H17,(E17+MAX(0,B39-G17)/12*F17))&gt;0,CEILING(MIN(H17,(E17+MAX(0,B39-G17)/12*F17)),1),0))</f>
        <v>3</v>
      </c>
      <c r="O39" s="52">
        <f t="shared" si="1"/>
        <v>9</v>
      </c>
      <c r="P39" s="52">
        <f>IF(B39&lt;G18,0,IF(MIN(H18,(O39/E18))&gt;0,CEILING(MIN(H18,(O39/E18)),1),0))</f>
        <v>0</v>
      </c>
      <c r="Q39" s="14">
        <f>(F39*D9*IF(B39&gt;=G9+24,Staffing!B6,1)+G39*D10*IF(B39&gt;=G10+24,Staffing!B6,1)+H39*D11*IF(B39&gt;=G11+24,Staffing!B6,1)+I39*D12*IF(B39&gt;=G12+24,Staffing!B6,1)+J39*D13*IF(B39&gt;=G13+24,Staffing!B6,1)+K39*D14*IF(B39&gt;=G14+24,Staffing!B6,1))/12</f>
        <v>7500</v>
      </c>
      <c r="R39" s="14">
        <f>(C39*D6*IF(B39&gt;=G6+24,Staffing!B6,1)+D39*D7*IF(B39&gt;=G7+24,Staffing!B6,1)+E39*D8*IF(B39&gt;=G8+24,Staffing!B6,1)+L39*D15*IF(B39&gt;=G15+24,Staffing!B6,1)+M39*D16*IF(B39&gt;=G16+24,Staffing!B6,1)+N39*D17*IF(B39&gt;=G17+24,Staffing!B6,1)+P39*D18*IF(B39&gt;=G18+24,Staffing!B6,1))/12</f>
        <v>120000</v>
      </c>
      <c r="S39" s="52">
        <f t="shared" si="2"/>
        <v>9</v>
      </c>
    </row>
    <row r="40" spans="1:19" x14ac:dyDescent="0.25">
      <c r="A40" s="51">
        <v>19</v>
      </c>
      <c r="B40" s="52">
        <f t="shared" si="0"/>
        <v>18</v>
      </c>
      <c r="C40" s="52">
        <f>IF(B40&lt;G6,0,IF(MIN(H6,(E6+MAX(0,B40-G6)/12*F6))&gt;0,CEILING(MIN(H6,(E6+MAX(0,B40-G6)/12*F6)),1),0))</f>
        <v>3</v>
      </c>
      <c r="D40" s="52">
        <f>IF(B40&lt;G7,0,IF(MIN(H7,(E7+MAX(0,B40-G7)/12*F7))&gt;0,CEILING(MIN(H7,(E7+MAX(0,B40-G7)/12*F7)),1),0))</f>
        <v>2</v>
      </c>
      <c r="E40" s="52">
        <f>IF(B40&lt;G8,0,IF(MIN(H8,(E8+MAX(0,B40-G8)/12*F8))&gt;0,CEILING(MIN(H8,(E8+MAX(0,B40-G8)/12*F8)),1),0))</f>
        <v>0</v>
      </c>
      <c r="F40" s="52">
        <f>IF(B40&lt;G9,0,IF(MIN(H9,('Proforma (monthly)'!C24/E9))&gt;0,CEILING(MIN(H9,('Proforma (monthly)'!C24/E9)),1),0))</f>
        <v>1</v>
      </c>
      <c r="G40" s="52">
        <f>IF(B40&lt;G10,0,IF(MIN(H10,('Proforma (monthly)'!E24/E10))&gt;0,CEILING(MIN(H10,('Proforma (monthly)'!E24/E10)),1),0))</f>
        <v>0</v>
      </c>
      <c r="H40" s="52">
        <f>IF(B40&lt;G11,0,IF(MIN(H11,('Proforma (monthly)'!E24/E11))&gt;0,CEILING(MIN(H11,('Proforma (monthly)'!E24/E11)),1),0))</f>
        <v>0</v>
      </c>
      <c r="I40" s="52">
        <f>IF(B40&lt;G12,0,IF(MIN(H12,('Proforma (monthly)'!E24/E12))&gt;0,CEILING(MIN(H12,('Proforma (monthly)'!E24/E12)),1),0))</f>
        <v>0</v>
      </c>
      <c r="J40" s="52">
        <f>IF(B40&lt;G13,0,IF(MIN(H13,('Proforma (monthly)'!E24/E13)*CHOOSE(MIN(5,MAX(1,ROUNDUP((A40-'Growth &amp; timing'!B5)/12,0))),$L$3,$M$3,$N$3,$O$3,$P$3))&gt;0,CEILING(MIN(H13,('Proforma (monthly)'!E24/E13)*CHOOSE(MIN(5,MAX(1,ROUNDUP((A40-'Growth &amp; timing'!B5)/12,0))),$L$3,$M$3,$N$3,$O$3,$P$3)),1),0))</f>
        <v>0</v>
      </c>
      <c r="K40" s="52">
        <f>IF(B40&lt;G14,0,IF(MIN(H14,('Proforma (monthly)'!E24/E14))&gt;0,CEILING(MIN(H14,('Proforma (monthly)'!E24/E14)),1),0))</f>
        <v>0</v>
      </c>
      <c r="L40" s="52">
        <f>IF(B40&lt;G15,0,IF(MIN(H15,('Proforma (monthly)'!C24/E15))&gt;0,CEILING(MIN(H15,('Proforma (monthly)'!C24/E15)),1),0))</f>
        <v>0</v>
      </c>
      <c r="M40" s="52">
        <f>IF(B40&lt;G16,0,IF(MIN(H16,(L40/E16))&gt;0,CEILING(MIN(H16,(L40/E16)),1),0))</f>
        <v>0</v>
      </c>
      <c r="N40" s="52">
        <f>IF(B40&lt;G17,0,IF(MIN(H17,(E17+MAX(0,B40-G17)/12*F17))&gt;0,CEILING(MIN(H17,(E17+MAX(0,B40-G17)/12*F17)),1),0))</f>
        <v>3</v>
      </c>
      <c r="O40" s="52">
        <f t="shared" si="1"/>
        <v>9</v>
      </c>
      <c r="P40" s="52">
        <f>IF(B40&lt;G18,0,IF(MIN(H18,(O40/E18))&gt;0,CEILING(MIN(H18,(O40/E18)),1),0))</f>
        <v>1</v>
      </c>
      <c r="Q40" s="14">
        <f>(F40*D9*IF(B40&gt;=G9+24,Staffing!B6,1)+G40*D10*IF(B40&gt;=G10+24,Staffing!B6,1)+H40*D11*IF(B40&gt;=G11+24,Staffing!B6,1)+I40*D12*IF(B40&gt;=G12+24,Staffing!B6,1)+J40*D13*IF(B40&gt;=G13+24,Staffing!B6,1)+K40*D14*IF(B40&gt;=G14+24,Staffing!B6,1))/12</f>
        <v>7500</v>
      </c>
      <c r="R40" s="14">
        <f>(C40*D6*IF(B40&gt;=G6+24,Staffing!B6,1)+D40*D7*IF(B40&gt;=G7+24,Staffing!B6,1)+E40*D8*IF(B40&gt;=G8+24,Staffing!B6,1)+L40*D15*IF(B40&gt;=G15+24,Staffing!B6,1)+M40*D16*IF(B40&gt;=G16+24,Staffing!B6,1)+N40*D17*IF(B40&gt;=G17+24,Staffing!B6,1)+P40*D18*IF(B40&gt;=G18+24,Staffing!B6,1))/12</f>
        <v>129166.66666666667</v>
      </c>
      <c r="S40" s="52">
        <f t="shared" si="2"/>
        <v>10</v>
      </c>
    </row>
    <row r="41" spans="1:19" x14ac:dyDescent="0.25">
      <c r="A41" s="51">
        <v>20</v>
      </c>
      <c r="B41" s="52">
        <f t="shared" si="0"/>
        <v>19</v>
      </c>
      <c r="C41" s="52">
        <f>IF(B41&lt;G6,0,IF(MIN(H6,(E6+MAX(0,B41-G6)/12*F6))&gt;0,CEILING(MIN(H6,(E6+MAX(0,B41-G6)/12*F6)),1),0))</f>
        <v>3</v>
      </c>
      <c r="D41" s="52">
        <f>IF(B41&lt;G7,0,IF(MIN(H7,(E7+MAX(0,B41-G7)/12*F7))&gt;0,CEILING(MIN(H7,(E7+MAX(0,B41-G7)/12*F7)),1),0))</f>
        <v>2</v>
      </c>
      <c r="E41" s="52">
        <f>IF(B41&lt;G8,0,IF(MIN(H8,(E8+MAX(0,B41-G8)/12*F8))&gt;0,CEILING(MIN(H8,(E8+MAX(0,B41-G8)/12*F8)),1),0))</f>
        <v>0</v>
      </c>
      <c r="F41" s="52">
        <f>IF(B41&lt;G9,0,IF(MIN(H9,('Proforma (monthly)'!C25/E9))&gt;0,CEILING(MIN(H9,('Proforma (monthly)'!C25/E9)),1),0))</f>
        <v>1</v>
      </c>
      <c r="G41" s="52">
        <f>IF(B41&lt;G10,0,IF(MIN(H10,('Proforma (monthly)'!E25/E10))&gt;0,CEILING(MIN(H10,('Proforma (monthly)'!E25/E10)),1),0))</f>
        <v>0</v>
      </c>
      <c r="H41" s="52">
        <f>IF(B41&lt;G11,0,IF(MIN(H11,('Proforma (monthly)'!E25/E11))&gt;0,CEILING(MIN(H11,('Proforma (monthly)'!E25/E11)),1),0))</f>
        <v>0</v>
      </c>
      <c r="I41" s="52">
        <f>IF(B41&lt;G12,0,IF(MIN(H12,('Proforma (monthly)'!E25/E12))&gt;0,CEILING(MIN(H12,('Proforma (monthly)'!E25/E12)),1),0))</f>
        <v>0</v>
      </c>
      <c r="J41" s="52">
        <f>IF(B41&lt;G13,0,IF(MIN(H13,('Proforma (monthly)'!E25/E13)*CHOOSE(MIN(5,MAX(1,ROUNDUP((A41-'Growth &amp; timing'!B5)/12,0))),$L$3,$M$3,$N$3,$O$3,$P$3))&gt;0,CEILING(MIN(H13,('Proforma (monthly)'!E25/E13)*CHOOSE(MIN(5,MAX(1,ROUNDUP((A41-'Growth &amp; timing'!B5)/12,0))),$L$3,$M$3,$N$3,$O$3,$P$3)),1),0))</f>
        <v>0</v>
      </c>
      <c r="K41" s="52">
        <f>IF(B41&lt;G14,0,IF(MIN(H14,('Proforma (monthly)'!E25/E14))&gt;0,CEILING(MIN(H14,('Proforma (monthly)'!E25/E14)),1),0))</f>
        <v>0</v>
      </c>
      <c r="L41" s="52">
        <f>IF(B41&lt;G15,0,IF(MIN(H15,('Proforma (monthly)'!C25/E15))&gt;0,CEILING(MIN(H15,('Proforma (monthly)'!C25/E15)),1),0))</f>
        <v>0</v>
      </c>
      <c r="M41" s="52">
        <f>IF(B41&lt;G16,0,IF(MIN(H16,(L41/E16))&gt;0,CEILING(MIN(H16,(L41/E16)),1),0))</f>
        <v>0</v>
      </c>
      <c r="N41" s="52">
        <f>IF(B41&lt;G17,0,IF(MIN(H17,(E17+MAX(0,B41-G17)/12*F17))&gt;0,CEILING(MIN(H17,(E17+MAX(0,B41-G17)/12*F17)),1),0))</f>
        <v>3</v>
      </c>
      <c r="O41" s="52">
        <f t="shared" si="1"/>
        <v>9</v>
      </c>
      <c r="P41" s="52">
        <f>IF(B41&lt;G18,0,IF(MIN(H18,(O41/E18))&gt;0,CEILING(MIN(H18,(O41/E18)),1),0))</f>
        <v>1</v>
      </c>
      <c r="Q41" s="14">
        <f>(F41*D9*IF(B41&gt;=G9+24,Staffing!B6,1)+G41*D10*IF(B41&gt;=G10+24,Staffing!B6,1)+H41*D11*IF(B41&gt;=G11+24,Staffing!B6,1)+I41*D12*IF(B41&gt;=G12+24,Staffing!B6,1)+J41*D13*IF(B41&gt;=G13+24,Staffing!B6,1)+K41*D14*IF(B41&gt;=G14+24,Staffing!B6,1))/12</f>
        <v>7500</v>
      </c>
      <c r="R41" s="14">
        <f>(C41*D6*IF(B41&gt;=G6+24,Staffing!B6,1)+D41*D7*IF(B41&gt;=G7+24,Staffing!B6,1)+E41*D8*IF(B41&gt;=G8+24,Staffing!B6,1)+L41*D15*IF(B41&gt;=G15+24,Staffing!B6,1)+M41*D16*IF(B41&gt;=G16+24,Staffing!B6,1)+N41*D17*IF(B41&gt;=G17+24,Staffing!B6,1)+P41*D18*IF(B41&gt;=G18+24,Staffing!B6,1))/12</f>
        <v>129166.66666666667</v>
      </c>
      <c r="S41" s="52">
        <f t="shared" si="2"/>
        <v>10</v>
      </c>
    </row>
    <row r="42" spans="1:19" x14ac:dyDescent="0.25">
      <c r="A42" s="51">
        <v>21</v>
      </c>
      <c r="B42" s="52">
        <f t="shared" si="0"/>
        <v>20</v>
      </c>
      <c r="C42" s="52">
        <f>IF(B42&lt;G6,0,IF(MIN(H6,(E6+MAX(0,B42-G6)/12*F6))&gt;0,CEILING(MIN(H6,(E6+MAX(0,B42-G6)/12*F6)),1),0))</f>
        <v>3</v>
      </c>
      <c r="D42" s="52">
        <f>IF(B42&lt;G7,0,IF(MIN(H7,(E7+MAX(0,B42-G7)/12*F7))&gt;0,CEILING(MIN(H7,(E7+MAX(0,B42-G7)/12*F7)),1),0))</f>
        <v>2</v>
      </c>
      <c r="E42" s="52">
        <f>IF(B42&lt;G8,0,IF(MIN(H8,(E8+MAX(0,B42-G8)/12*F8))&gt;0,CEILING(MIN(H8,(E8+MAX(0,B42-G8)/12*F8)),1),0))</f>
        <v>0</v>
      </c>
      <c r="F42" s="52">
        <f>IF(B42&lt;G9,0,IF(MIN(H9,('Proforma (monthly)'!C26/E9))&gt;0,CEILING(MIN(H9,('Proforma (monthly)'!C26/E9)),1),0))</f>
        <v>1</v>
      </c>
      <c r="G42" s="52">
        <f>IF(B42&lt;G10,0,IF(MIN(H10,('Proforma (monthly)'!E26/E10))&gt;0,CEILING(MIN(H10,('Proforma (monthly)'!E26/E10)),1),0))</f>
        <v>0</v>
      </c>
      <c r="H42" s="52">
        <f>IF(B42&lt;G11,0,IF(MIN(H11,('Proforma (monthly)'!E26/E11))&gt;0,CEILING(MIN(H11,('Proforma (monthly)'!E26/E11)),1),0))</f>
        <v>0</v>
      </c>
      <c r="I42" s="52">
        <f>IF(B42&lt;G12,0,IF(MIN(H12,('Proforma (monthly)'!E26/E12))&gt;0,CEILING(MIN(H12,('Proforma (monthly)'!E26/E12)),1),0))</f>
        <v>0</v>
      </c>
      <c r="J42" s="52">
        <f>IF(B42&lt;G13,0,IF(MIN(H13,('Proforma (monthly)'!E26/E13)*CHOOSE(MIN(5,MAX(1,ROUNDUP((A42-'Growth &amp; timing'!B5)/12,0))),$L$3,$M$3,$N$3,$O$3,$P$3))&gt;0,CEILING(MIN(H13,('Proforma (monthly)'!E26/E13)*CHOOSE(MIN(5,MAX(1,ROUNDUP((A42-'Growth &amp; timing'!B5)/12,0))),$L$3,$M$3,$N$3,$O$3,$P$3)),1),0))</f>
        <v>0</v>
      </c>
      <c r="K42" s="52">
        <f>IF(B42&lt;G14,0,IF(MIN(H14,('Proforma (monthly)'!E26/E14))&gt;0,CEILING(MIN(H14,('Proforma (monthly)'!E26/E14)),1),0))</f>
        <v>0</v>
      </c>
      <c r="L42" s="52">
        <f>IF(B42&lt;G15,0,IF(MIN(H15,('Proforma (monthly)'!C26/E15))&gt;0,CEILING(MIN(H15,('Proforma (monthly)'!C26/E15)),1),0))</f>
        <v>0</v>
      </c>
      <c r="M42" s="52">
        <f>IF(B42&lt;G16,0,IF(MIN(H16,(L42/E16))&gt;0,CEILING(MIN(H16,(L42/E16)),1),0))</f>
        <v>0</v>
      </c>
      <c r="N42" s="52">
        <f>IF(B42&lt;G17,0,IF(MIN(H17,(E17+MAX(0,B42-G17)/12*F17))&gt;0,CEILING(MIN(H17,(E17+MAX(0,B42-G17)/12*F17)),1),0))</f>
        <v>3</v>
      </c>
      <c r="O42" s="52">
        <f t="shared" si="1"/>
        <v>9</v>
      </c>
      <c r="P42" s="52">
        <f>IF(B42&lt;G18,0,IF(MIN(H18,(O42/E18))&gt;0,CEILING(MIN(H18,(O42/E18)),1),0))</f>
        <v>1</v>
      </c>
      <c r="Q42" s="14">
        <f>(F42*D9*IF(B42&gt;=G9+24,Staffing!B6,1)+G42*D10*IF(B42&gt;=G10+24,Staffing!B6,1)+H42*D11*IF(B42&gt;=G11+24,Staffing!B6,1)+I42*D12*IF(B42&gt;=G12+24,Staffing!B6,1)+J42*D13*IF(B42&gt;=G13+24,Staffing!B6,1)+K42*D14*IF(B42&gt;=G14+24,Staffing!B6,1))/12</f>
        <v>7500</v>
      </c>
      <c r="R42" s="14">
        <f>(C42*D6*IF(B42&gt;=G6+24,Staffing!B6,1)+D42*D7*IF(B42&gt;=G7+24,Staffing!B6,1)+E42*D8*IF(B42&gt;=G8+24,Staffing!B6,1)+L42*D15*IF(B42&gt;=G15+24,Staffing!B6,1)+M42*D16*IF(B42&gt;=G16+24,Staffing!B6,1)+N42*D17*IF(B42&gt;=G17+24,Staffing!B6,1)+P42*D18*IF(B42&gt;=G18+24,Staffing!B6,1))/12</f>
        <v>129166.66666666667</v>
      </c>
      <c r="S42" s="52">
        <f t="shared" si="2"/>
        <v>10</v>
      </c>
    </row>
    <row r="43" spans="1:19" x14ac:dyDescent="0.25">
      <c r="A43" s="51">
        <v>22</v>
      </c>
      <c r="B43" s="52">
        <f t="shared" si="0"/>
        <v>21</v>
      </c>
      <c r="C43" s="52">
        <f>IF(B43&lt;G6,0,IF(MIN(H6,(E6+MAX(0,B43-G6)/12*F6))&gt;0,CEILING(MIN(H6,(E6+MAX(0,B43-G6)/12*F6)),1),0))</f>
        <v>3</v>
      </c>
      <c r="D43" s="52">
        <f>IF(B43&lt;G7,0,IF(MIN(H7,(E7+MAX(0,B43-G7)/12*F7))&gt;0,CEILING(MIN(H7,(E7+MAX(0,B43-G7)/12*F7)),1),0))</f>
        <v>3</v>
      </c>
      <c r="E43" s="52">
        <f>IF(B43&lt;G8,0,IF(MIN(H8,(E8+MAX(0,B43-G8)/12*F8))&gt;0,CEILING(MIN(H8,(E8+MAX(0,B43-G8)/12*F8)),1),0))</f>
        <v>0</v>
      </c>
      <c r="F43" s="52">
        <f>IF(B43&lt;G9,0,IF(MIN(H9,('Proforma (monthly)'!C27/E9))&gt;0,CEILING(MIN(H9,('Proforma (monthly)'!C27/E9)),1),0))</f>
        <v>1</v>
      </c>
      <c r="G43" s="52">
        <f>IF(B43&lt;G10,0,IF(MIN(H10,('Proforma (monthly)'!E27/E10))&gt;0,CEILING(MIN(H10,('Proforma (monthly)'!E27/E10)),1),0))</f>
        <v>0</v>
      </c>
      <c r="H43" s="52">
        <f>IF(B43&lt;G11,0,IF(MIN(H11,('Proforma (monthly)'!E27/E11))&gt;0,CEILING(MIN(H11,('Proforma (monthly)'!E27/E11)),1),0))</f>
        <v>0</v>
      </c>
      <c r="I43" s="52">
        <f>IF(B43&lt;G12,0,IF(MIN(H12,('Proforma (monthly)'!E27/E12))&gt;0,CEILING(MIN(H12,('Proforma (monthly)'!E27/E12)),1),0))</f>
        <v>0</v>
      </c>
      <c r="J43" s="52">
        <f>IF(B43&lt;G13,0,IF(MIN(H13,('Proforma (monthly)'!E27/E13)*CHOOSE(MIN(5,MAX(1,ROUNDUP((A43-'Growth &amp; timing'!B5)/12,0))),$L$3,$M$3,$N$3,$O$3,$P$3))&gt;0,CEILING(MIN(H13,('Proforma (monthly)'!E27/E13)*CHOOSE(MIN(5,MAX(1,ROUNDUP((A43-'Growth &amp; timing'!B5)/12,0))),$L$3,$M$3,$N$3,$O$3,$P$3)),1),0))</f>
        <v>0</v>
      </c>
      <c r="K43" s="52">
        <f>IF(B43&lt;G14,0,IF(MIN(H14,('Proforma (monthly)'!E27/E14))&gt;0,CEILING(MIN(H14,('Proforma (monthly)'!E27/E14)),1),0))</f>
        <v>0</v>
      </c>
      <c r="L43" s="52">
        <f>IF(B43&lt;G15,0,IF(MIN(H15,('Proforma (monthly)'!C27/E15))&gt;0,CEILING(MIN(H15,('Proforma (monthly)'!C27/E15)),1),0))</f>
        <v>0</v>
      </c>
      <c r="M43" s="52">
        <f>IF(B43&lt;G16,0,IF(MIN(H16,(L43/E16))&gt;0,CEILING(MIN(H16,(L43/E16)),1),0))</f>
        <v>0</v>
      </c>
      <c r="N43" s="52">
        <f>IF(B43&lt;G17,0,IF(MIN(H17,(E17+MAX(0,B43-G17)/12*F17))&gt;0,CEILING(MIN(H17,(E17+MAX(0,B43-G17)/12*F17)),1),0))</f>
        <v>3</v>
      </c>
      <c r="O43" s="52">
        <f t="shared" si="1"/>
        <v>10</v>
      </c>
      <c r="P43" s="52">
        <f>IF(B43&lt;G18,0,IF(MIN(H18,(O43/E18))&gt;0,CEILING(MIN(H18,(O43/E18)),1),0))</f>
        <v>1</v>
      </c>
      <c r="Q43" s="14">
        <f>(F43*D9*IF(B43&gt;=G9+24,Staffing!B6,1)+G43*D10*IF(B43&gt;=G10+24,Staffing!B6,1)+H43*D11*IF(B43&gt;=G11+24,Staffing!B6,1)+I43*D12*IF(B43&gt;=G12+24,Staffing!B6,1)+J43*D13*IF(B43&gt;=G13+24,Staffing!B6,1)+K43*D14*IF(B43&gt;=G14+24,Staffing!B6,1))/12</f>
        <v>7500</v>
      </c>
      <c r="R43" s="14">
        <f>(C43*D6*IF(B43&gt;=G6+24,Staffing!B6,1)+D43*D7*IF(B43&gt;=G7+24,Staffing!B6,1)+E43*D8*IF(B43&gt;=G8+24,Staffing!B6,1)+L43*D15*IF(B43&gt;=G15+24,Staffing!B6,1)+M43*D16*IF(B43&gt;=G16+24,Staffing!B6,1)+N43*D17*IF(B43&gt;=G17+24,Staffing!B6,1)+P43*D18*IF(B43&gt;=G18+24,Staffing!B6,1))/12</f>
        <v>141666.66666666666</v>
      </c>
      <c r="S43" s="52">
        <f t="shared" si="2"/>
        <v>11</v>
      </c>
    </row>
    <row r="44" spans="1:19" x14ac:dyDescent="0.25">
      <c r="A44" s="51">
        <v>23</v>
      </c>
      <c r="B44" s="52">
        <f t="shared" si="0"/>
        <v>22</v>
      </c>
      <c r="C44" s="52">
        <f>IF(B44&lt;G6,0,IF(MIN(H6,(E6+MAX(0,B44-G6)/12*F6))&gt;0,CEILING(MIN(H6,(E6+MAX(0,B44-G6)/12*F6)),1),0))</f>
        <v>3</v>
      </c>
      <c r="D44" s="52">
        <f>IF(B44&lt;G7,0,IF(MIN(H7,(E7+MAX(0,B44-G7)/12*F7))&gt;0,CEILING(MIN(H7,(E7+MAX(0,B44-G7)/12*F7)),1),0))</f>
        <v>3</v>
      </c>
      <c r="E44" s="52">
        <f>IF(B44&lt;G8,0,IF(MIN(H8,(E8+MAX(0,B44-G8)/12*F8))&gt;0,CEILING(MIN(H8,(E8+MAX(0,B44-G8)/12*F8)),1),0))</f>
        <v>0</v>
      </c>
      <c r="F44" s="52">
        <f>IF(B44&lt;G9,0,IF(MIN(H9,('Proforma (monthly)'!C28/E9))&gt;0,CEILING(MIN(H9,('Proforma (monthly)'!C28/E9)),1),0))</f>
        <v>1</v>
      </c>
      <c r="G44" s="52">
        <f>IF(B44&lt;G10,0,IF(MIN(H10,('Proforma (monthly)'!E28/E10))&gt;0,CEILING(MIN(H10,('Proforma (monthly)'!E28/E10)),1),0))</f>
        <v>0</v>
      </c>
      <c r="H44" s="52">
        <f>IF(B44&lt;G11,0,IF(MIN(H11,('Proforma (monthly)'!E28/E11))&gt;0,CEILING(MIN(H11,('Proforma (monthly)'!E28/E11)),1),0))</f>
        <v>0</v>
      </c>
      <c r="I44" s="52">
        <f>IF(B44&lt;G12,0,IF(MIN(H12,('Proforma (monthly)'!E28/E12))&gt;0,CEILING(MIN(H12,('Proforma (monthly)'!E28/E12)),1),0))</f>
        <v>0</v>
      </c>
      <c r="J44" s="52">
        <f>IF(B44&lt;G13,0,IF(MIN(H13,('Proforma (monthly)'!E28/E13)*CHOOSE(MIN(5,MAX(1,ROUNDUP((A44-'Growth &amp; timing'!B5)/12,0))),$L$3,$M$3,$N$3,$O$3,$P$3))&gt;0,CEILING(MIN(H13,('Proforma (monthly)'!E28/E13)*CHOOSE(MIN(5,MAX(1,ROUNDUP((A44-'Growth &amp; timing'!B5)/12,0))),$L$3,$M$3,$N$3,$O$3,$P$3)),1),0))</f>
        <v>0</v>
      </c>
      <c r="K44" s="52">
        <f>IF(B44&lt;G14,0,IF(MIN(H14,('Proforma (monthly)'!E28/E14))&gt;0,CEILING(MIN(H14,('Proforma (monthly)'!E28/E14)),1),0))</f>
        <v>0</v>
      </c>
      <c r="L44" s="52">
        <f>IF(B44&lt;G15,0,IF(MIN(H15,('Proforma (monthly)'!C28/E15))&gt;0,CEILING(MIN(H15,('Proforma (monthly)'!C28/E15)),1),0))</f>
        <v>0</v>
      </c>
      <c r="M44" s="52">
        <f>IF(B44&lt;G16,0,IF(MIN(H16,(L44/E16))&gt;0,CEILING(MIN(H16,(L44/E16)),1),0))</f>
        <v>0</v>
      </c>
      <c r="N44" s="52">
        <f>IF(B44&lt;G17,0,IF(MIN(H17,(E17+MAX(0,B44-G17)/12*F17))&gt;0,CEILING(MIN(H17,(E17+MAX(0,B44-G17)/12*F17)),1),0))</f>
        <v>3</v>
      </c>
      <c r="O44" s="52">
        <f t="shared" si="1"/>
        <v>10</v>
      </c>
      <c r="P44" s="52">
        <f>IF(B44&lt;G18,0,IF(MIN(H18,(O44/E18))&gt;0,CEILING(MIN(H18,(O44/E18)),1),0))</f>
        <v>1</v>
      </c>
      <c r="Q44" s="14">
        <f>(F44*D9*IF(B44&gt;=G9+24,Staffing!B6,1)+G44*D10*IF(B44&gt;=G10+24,Staffing!B6,1)+H44*D11*IF(B44&gt;=G11+24,Staffing!B6,1)+I44*D12*IF(B44&gt;=G12+24,Staffing!B6,1)+J44*D13*IF(B44&gt;=G13+24,Staffing!B6,1)+K44*D14*IF(B44&gt;=G14+24,Staffing!B6,1))/12</f>
        <v>7500</v>
      </c>
      <c r="R44" s="14">
        <f>(C44*D6*IF(B44&gt;=G6+24,Staffing!B6,1)+D44*D7*IF(B44&gt;=G7+24,Staffing!B6,1)+E44*D8*IF(B44&gt;=G8+24,Staffing!B6,1)+L44*D15*IF(B44&gt;=G15+24,Staffing!B6,1)+M44*D16*IF(B44&gt;=G16+24,Staffing!B6,1)+N44*D17*IF(B44&gt;=G17+24,Staffing!B6,1)+P44*D18*IF(B44&gt;=G18+24,Staffing!B6,1))/12</f>
        <v>141666.66666666666</v>
      </c>
      <c r="S44" s="52">
        <f t="shared" si="2"/>
        <v>11</v>
      </c>
    </row>
    <row r="45" spans="1:19" x14ac:dyDescent="0.25">
      <c r="A45" s="51">
        <v>24</v>
      </c>
      <c r="B45" s="52">
        <f t="shared" si="0"/>
        <v>23</v>
      </c>
      <c r="C45" s="52">
        <f>IF(B45&lt;G6,0,IF(MIN(H6,(E6+MAX(0,B45-G6)/12*F6))&gt;0,CEILING(MIN(H6,(E6+MAX(0,B45-G6)/12*F6)),1),0))</f>
        <v>3</v>
      </c>
      <c r="D45" s="52">
        <f>IF(B45&lt;G7,0,IF(MIN(H7,(E7+MAX(0,B45-G7)/12*F7))&gt;0,CEILING(MIN(H7,(E7+MAX(0,B45-G7)/12*F7)),1),0))</f>
        <v>3</v>
      </c>
      <c r="E45" s="52">
        <f>IF(B45&lt;G8,0,IF(MIN(H8,(E8+MAX(0,B45-G8)/12*F8))&gt;0,CEILING(MIN(H8,(E8+MAX(0,B45-G8)/12*F8)),1),0))</f>
        <v>0</v>
      </c>
      <c r="F45" s="52">
        <f>IF(B45&lt;G9,0,IF(MIN(H9,('Proforma (monthly)'!C29/E9))&gt;0,CEILING(MIN(H9,('Proforma (monthly)'!C29/E9)),1),0))</f>
        <v>1</v>
      </c>
      <c r="G45" s="52">
        <f>IF(B45&lt;G10,0,IF(MIN(H10,('Proforma (monthly)'!E29/E10))&gt;0,CEILING(MIN(H10,('Proforma (monthly)'!E29/E10)),1),0))</f>
        <v>0</v>
      </c>
      <c r="H45" s="52">
        <f>IF(B45&lt;G11,0,IF(MIN(H11,('Proforma (monthly)'!E29/E11))&gt;0,CEILING(MIN(H11,('Proforma (monthly)'!E29/E11)),1),0))</f>
        <v>0</v>
      </c>
      <c r="I45" s="52">
        <f>IF(B45&lt;G12,0,IF(MIN(H12,('Proforma (monthly)'!E29/E12))&gt;0,CEILING(MIN(H12,('Proforma (monthly)'!E29/E12)),1),0))</f>
        <v>0</v>
      </c>
      <c r="J45" s="52">
        <f>IF(B45&lt;G13,0,IF(MIN(H13,('Proforma (monthly)'!E29/E13)*CHOOSE(MIN(5,MAX(1,ROUNDUP((A45-'Growth &amp; timing'!B5)/12,0))),$L$3,$M$3,$N$3,$O$3,$P$3))&gt;0,CEILING(MIN(H13,('Proforma (monthly)'!E29/E13)*CHOOSE(MIN(5,MAX(1,ROUNDUP((A45-'Growth &amp; timing'!B5)/12,0))),$L$3,$M$3,$N$3,$O$3,$P$3)),1),0))</f>
        <v>0</v>
      </c>
      <c r="K45" s="52">
        <f>IF(B45&lt;G14,0,IF(MIN(H14,('Proforma (monthly)'!E29/E14))&gt;0,CEILING(MIN(H14,('Proforma (monthly)'!E29/E14)),1),0))</f>
        <v>0</v>
      </c>
      <c r="L45" s="52">
        <f>IF(B45&lt;G15,0,IF(MIN(H15,('Proforma (monthly)'!C29/E15))&gt;0,CEILING(MIN(H15,('Proforma (monthly)'!C29/E15)),1),0))</f>
        <v>0</v>
      </c>
      <c r="M45" s="52">
        <f>IF(B45&lt;G16,0,IF(MIN(H16,(L45/E16))&gt;0,CEILING(MIN(H16,(L45/E16)),1),0))</f>
        <v>0</v>
      </c>
      <c r="N45" s="52">
        <f>IF(B45&lt;G17,0,IF(MIN(H17,(E17+MAX(0,B45-G17)/12*F17))&gt;0,CEILING(MIN(H17,(E17+MAX(0,B45-G17)/12*F17)),1),0))</f>
        <v>3</v>
      </c>
      <c r="O45" s="52">
        <f t="shared" si="1"/>
        <v>10</v>
      </c>
      <c r="P45" s="52">
        <f>IF(B45&lt;G18,0,IF(MIN(H18,(O45/E18))&gt;0,CEILING(MIN(H18,(O45/E18)),1),0))</f>
        <v>1</v>
      </c>
      <c r="Q45" s="14">
        <f>(F45*D9*IF(B45&gt;=G9+24,Staffing!B6,1)+G45*D10*IF(B45&gt;=G10+24,Staffing!B6,1)+H45*D11*IF(B45&gt;=G11+24,Staffing!B6,1)+I45*D12*IF(B45&gt;=G12+24,Staffing!B6,1)+J45*D13*IF(B45&gt;=G13+24,Staffing!B6,1)+K45*D14*IF(B45&gt;=G14+24,Staffing!B6,1))/12</f>
        <v>7500</v>
      </c>
      <c r="R45" s="14">
        <f>(C45*D6*IF(B45&gt;=G6+24,Staffing!B6,1)+D45*D7*IF(B45&gt;=G7+24,Staffing!B6,1)+E45*D8*IF(B45&gt;=G8+24,Staffing!B6,1)+L45*D15*IF(B45&gt;=G15+24,Staffing!B6,1)+M45*D16*IF(B45&gt;=G16+24,Staffing!B6,1)+N45*D17*IF(B45&gt;=G17+24,Staffing!B6,1)+P45*D18*IF(B45&gt;=G18+24,Staffing!B6,1))/12</f>
        <v>141666.66666666666</v>
      </c>
      <c r="S45" s="52">
        <f t="shared" si="2"/>
        <v>11</v>
      </c>
    </row>
    <row r="46" spans="1:19" x14ac:dyDescent="0.25">
      <c r="A46" s="51">
        <v>25</v>
      </c>
      <c r="B46" s="52">
        <f t="shared" si="0"/>
        <v>24</v>
      </c>
      <c r="C46" s="52">
        <f>IF(B46&lt;G6,0,IF(MIN(H6,(E6+MAX(0,B46-G6)/12*F6))&gt;0,CEILING(MIN(H6,(E6+MAX(0,B46-G6)/12*F6)),1),0))</f>
        <v>3</v>
      </c>
      <c r="D46" s="52">
        <f>IF(B46&lt;G7,0,IF(MIN(H7,(E7+MAX(0,B46-G7)/12*F7))&gt;0,CEILING(MIN(H7,(E7+MAX(0,B46-G7)/12*F7)),1),0))</f>
        <v>3</v>
      </c>
      <c r="E46" s="52">
        <f>IF(B46&lt;G8,0,IF(MIN(H8,(E8+MAX(0,B46-G8)/12*F8))&gt;0,CEILING(MIN(H8,(E8+MAX(0,B46-G8)/12*F8)),1),0))</f>
        <v>0</v>
      </c>
      <c r="F46" s="52">
        <f>IF(B46&lt;G9,0,IF(MIN(H9,('Proforma (monthly)'!C30/E9))&gt;0,CEILING(MIN(H9,('Proforma (monthly)'!C30/E9)),1),0))</f>
        <v>1</v>
      </c>
      <c r="G46" s="52">
        <f>IF(B46&lt;G10,0,IF(MIN(H10,('Proforma (monthly)'!E30/E10))&gt;0,CEILING(MIN(H10,('Proforma (monthly)'!E30/E10)),1),0))</f>
        <v>0</v>
      </c>
      <c r="H46" s="52">
        <f>IF(B46&lt;G11,0,IF(MIN(H11,('Proforma (monthly)'!E30/E11))&gt;0,CEILING(MIN(H11,('Proforma (monthly)'!E30/E11)),1),0))</f>
        <v>0</v>
      </c>
      <c r="I46" s="52">
        <f>IF(B46&lt;G12,0,IF(MIN(H12,('Proforma (monthly)'!E30/E12))&gt;0,CEILING(MIN(H12,('Proforma (monthly)'!E30/E12)),1),0))</f>
        <v>0</v>
      </c>
      <c r="J46" s="52">
        <f>IF(B46&lt;G13,0,IF(MIN(H13,('Proforma (monthly)'!E30/E13)*CHOOSE(MIN(5,MAX(1,ROUNDUP((A46-'Growth &amp; timing'!B5)/12,0))),$L$3,$M$3,$N$3,$O$3,$P$3))&gt;0,CEILING(MIN(H13,('Proforma (monthly)'!E30/E13)*CHOOSE(MIN(5,MAX(1,ROUNDUP((A46-'Growth &amp; timing'!B5)/12,0))),$L$3,$M$3,$N$3,$O$3,$P$3)),1),0))</f>
        <v>0</v>
      </c>
      <c r="K46" s="52">
        <f>IF(B46&lt;G14,0,IF(MIN(H14,('Proforma (monthly)'!E30/E14))&gt;0,CEILING(MIN(H14,('Proforma (monthly)'!E30/E14)),1),0))</f>
        <v>0</v>
      </c>
      <c r="L46" s="52">
        <f>IF(B46&lt;G15,0,IF(MIN(H15,('Proforma (monthly)'!C30/E15))&gt;0,CEILING(MIN(H15,('Proforma (monthly)'!C30/E15)),1),0))</f>
        <v>0</v>
      </c>
      <c r="M46" s="52">
        <f>IF(B46&lt;G16,0,IF(MIN(H16,(L46/E16))&gt;0,CEILING(MIN(H16,(L46/E16)),1),0))</f>
        <v>0</v>
      </c>
      <c r="N46" s="52">
        <f>IF(B46&lt;G17,0,IF(MIN(H17,(E17+MAX(0,B46-G17)/12*F17))&gt;0,CEILING(MIN(H17,(E17+MAX(0,B46-G17)/12*F17)),1),0))</f>
        <v>3</v>
      </c>
      <c r="O46" s="52">
        <f t="shared" si="1"/>
        <v>10</v>
      </c>
      <c r="P46" s="52">
        <f>IF(B46&lt;G18,0,IF(MIN(H18,(O46/E18))&gt;0,CEILING(MIN(H18,(O46/E18)),1),0))</f>
        <v>1</v>
      </c>
      <c r="Q46" s="14">
        <f>(F46*D9*IF(B46&gt;=G9+24,Staffing!B6,1)+G46*D10*IF(B46&gt;=G10+24,Staffing!B6,1)+H46*D11*IF(B46&gt;=G11+24,Staffing!B6,1)+I46*D12*IF(B46&gt;=G12+24,Staffing!B6,1)+J46*D13*IF(B46&gt;=G13+24,Staffing!B6,1)+K46*D14*IF(B46&gt;=G14+24,Staffing!B6,1))/12</f>
        <v>7500</v>
      </c>
      <c r="R46" s="14">
        <f>(C46*D6*IF(B46&gt;=G6+24,Staffing!B6,1)+D46*D7*IF(B46&gt;=G7+24,Staffing!B6,1)+E46*D8*IF(B46&gt;=G8+24,Staffing!B6,1)+L46*D15*IF(B46&gt;=G15+24,Staffing!B6,1)+M46*D16*IF(B46&gt;=G16+24,Staffing!B6,1)+N46*D17*IF(B46&gt;=G17+24,Staffing!B6,1)+P46*D18*IF(B46&gt;=G18+24,Staffing!B6,1))/12</f>
        <v>151666.66666666666</v>
      </c>
      <c r="S46" s="52">
        <f t="shared" si="2"/>
        <v>11</v>
      </c>
    </row>
    <row r="47" spans="1:19" x14ac:dyDescent="0.25">
      <c r="A47" s="51">
        <v>26</v>
      </c>
      <c r="B47" s="52">
        <f t="shared" si="0"/>
        <v>25</v>
      </c>
      <c r="C47" s="52">
        <f>IF(B47&lt;G6,0,IF(MIN(H6,(E6+MAX(0,B47-G6)/12*F6))&gt;0,CEILING(MIN(H6,(E6+MAX(0,B47-G6)/12*F6)),1),0))</f>
        <v>3</v>
      </c>
      <c r="D47" s="52">
        <f>IF(B47&lt;G7,0,IF(MIN(H7,(E7+MAX(0,B47-G7)/12*F7))&gt;0,CEILING(MIN(H7,(E7+MAX(0,B47-G7)/12*F7)),1),0))</f>
        <v>3</v>
      </c>
      <c r="E47" s="52">
        <f>IF(B47&lt;G8,0,IF(MIN(H8,(E8+MAX(0,B47-G8)/12*F8))&gt;0,CEILING(MIN(H8,(E8+MAX(0,B47-G8)/12*F8)),1),0))</f>
        <v>0</v>
      </c>
      <c r="F47" s="52">
        <f>IF(B47&lt;G9,0,IF(MIN(H9,('Proforma (monthly)'!C31/E9))&gt;0,CEILING(MIN(H9,('Proforma (monthly)'!C31/E9)),1),0))</f>
        <v>1</v>
      </c>
      <c r="G47" s="52">
        <f>IF(B47&lt;G10,0,IF(MIN(H10,('Proforma (monthly)'!E31/E10))&gt;0,CEILING(MIN(H10,('Proforma (monthly)'!E31/E10)),1),0))</f>
        <v>0</v>
      </c>
      <c r="H47" s="52">
        <f>IF(B47&lt;G11,0,IF(MIN(H11,('Proforma (monthly)'!E31/E11))&gt;0,CEILING(MIN(H11,('Proforma (monthly)'!E31/E11)),1),0))</f>
        <v>0</v>
      </c>
      <c r="I47" s="52">
        <f>IF(B47&lt;G12,0,IF(MIN(H12,('Proforma (monthly)'!E31/E12))&gt;0,CEILING(MIN(H12,('Proforma (monthly)'!E31/E12)),1),0))</f>
        <v>0</v>
      </c>
      <c r="J47" s="52">
        <f>IF(B47&lt;G13,0,IF(MIN(H13,('Proforma (monthly)'!E31/E13)*CHOOSE(MIN(5,MAX(1,ROUNDUP((A47-'Growth &amp; timing'!B5)/12,0))),$L$3,$M$3,$N$3,$O$3,$P$3))&gt;0,CEILING(MIN(H13,('Proforma (monthly)'!E31/E13)*CHOOSE(MIN(5,MAX(1,ROUNDUP((A47-'Growth &amp; timing'!B5)/12,0))),$L$3,$M$3,$N$3,$O$3,$P$3)),1),0))</f>
        <v>0</v>
      </c>
      <c r="K47" s="52">
        <f>IF(B47&lt;G14,0,IF(MIN(H14,('Proforma (monthly)'!E31/E14))&gt;0,CEILING(MIN(H14,('Proforma (monthly)'!E31/E14)),1),0))</f>
        <v>0</v>
      </c>
      <c r="L47" s="52">
        <f>IF(B47&lt;G15,0,IF(MIN(H15,('Proforma (monthly)'!C31/E15))&gt;0,CEILING(MIN(H15,('Proforma (monthly)'!C31/E15)),1),0))</f>
        <v>0</v>
      </c>
      <c r="M47" s="52">
        <f>IF(B47&lt;G16,0,IF(MIN(H16,(L47/E16))&gt;0,CEILING(MIN(H16,(L47/E16)),1),0))</f>
        <v>0</v>
      </c>
      <c r="N47" s="52">
        <f>IF(B47&lt;G17,0,IF(MIN(H17,(E17+MAX(0,B47-G17)/12*F17))&gt;0,CEILING(MIN(H17,(E17+MAX(0,B47-G17)/12*F17)),1),0))</f>
        <v>3</v>
      </c>
      <c r="O47" s="52">
        <f t="shared" si="1"/>
        <v>10</v>
      </c>
      <c r="P47" s="52">
        <f>IF(B47&lt;G18,0,IF(MIN(H18,(O47/E18))&gt;0,CEILING(MIN(H18,(O47/E18)),1),0))</f>
        <v>1</v>
      </c>
      <c r="Q47" s="14">
        <f>(F47*D9*IF(B47&gt;=G9+24,Staffing!B6,1)+G47*D10*IF(B47&gt;=G10+24,Staffing!B6,1)+H47*D11*IF(B47&gt;=G11+24,Staffing!B6,1)+I47*D12*IF(B47&gt;=G12+24,Staffing!B6,1)+J47*D13*IF(B47&gt;=G13+24,Staffing!B6,1)+K47*D14*IF(B47&gt;=G14+24,Staffing!B6,1))/12</f>
        <v>7500</v>
      </c>
      <c r="R47" s="14">
        <f>(C47*D6*IF(B47&gt;=G6+24,Staffing!B6,1)+D47*D7*IF(B47&gt;=G7+24,Staffing!B6,1)+E47*D8*IF(B47&gt;=G8+24,Staffing!B6,1)+L47*D15*IF(B47&gt;=G15+24,Staffing!B6,1)+M47*D16*IF(B47&gt;=G16+24,Staffing!B6,1)+N47*D17*IF(B47&gt;=G17+24,Staffing!B6,1)+P47*D18*IF(B47&gt;=G18+24,Staffing!B6,1))/12</f>
        <v>151666.66666666666</v>
      </c>
      <c r="S47" s="52">
        <f t="shared" si="2"/>
        <v>11</v>
      </c>
    </row>
    <row r="48" spans="1:19" x14ac:dyDescent="0.25">
      <c r="A48" s="51">
        <v>27</v>
      </c>
      <c r="B48" s="52">
        <f t="shared" si="0"/>
        <v>26</v>
      </c>
      <c r="C48" s="52">
        <f>IF(B48&lt;G6,0,IF(MIN(H6,(E6+MAX(0,B48-G6)/12*F6))&gt;0,CEILING(MIN(H6,(E6+MAX(0,B48-G6)/12*F6)),1),0))</f>
        <v>3</v>
      </c>
      <c r="D48" s="52">
        <f>IF(B48&lt;G7,0,IF(MIN(H7,(E7+MAX(0,B48-G7)/12*F7))&gt;0,CEILING(MIN(H7,(E7+MAX(0,B48-G7)/12*F7)),1),0))</f>
        <v>3</v>
      </c>
      <c r="E48" s="52">
        <f>IF(B48&lt;G8,0,IF(MIN(H8,(E8+MAX(0,B48-G8)/12*F8))&gt;0,CEILING(MIN(H8,(E8+MAX(0,B48-G8)/12*F8)),1),0))</f>
        <v>0</v>
      </c>
      <c r="F48" s="52">
        <f>IF(B48&lt;G9,0,IF(MIN(H9,('Proforma (monthly)'!C32/E9))&gt;0,CEILING(MIN(H9,('Proforma (monthly)'!C32/E9)),1),0))</f>
        <v>1</v>
      </c>
      <c r="G48" s="52">
        <f>IF(B48&lt;G10,0,IF(MIN(H10,('Proforma (monthly)'!E32/E10))&gt;0,CEILING(MIN(H10,('Proforma (monthly)'!E32/E10)),1),0))</f>
        <v>0</v>
      </c>
      <c r="H48" s="52">
        <f>IF(B48&lt;G11,0,IF(MIN(H11,('Proforma (monthly)'!E32/E11))&gt;0,CEILING(MIN(H11,('Proforma (monthly)'!E32/E11)),1),0))</f>
        <v>0</v>
      </c>
      <c r="I48" s="52">
        <f>IF(B48&lt;G12,0,IF(MIN(H12,('Proforma (monthly)'!E32/E12))&gt;0,CEILING(MIN(H12,('Proforma (monthly)'!E32/E12)),1),0))</f>
        <v>0</v>
      </c>
      <c r="J48" s="52">
        <f>IF(B48&lt;G13,0,IF(MIN(H13,('Proforma (monthly)'!E32/E13)*CHOOSE(MIN(5,MAX(1,ROUNDUP((A48-'Growth &amp; timing'!B5)/12,0))),$L$3,$M$3,$N$3,$O$3,$P$3))&gt;0,CEILING(MIN(H13,('Proforma (monthly)'!E32/E13)*CHOOSE(MIN(5,MAX(1,ROUNDUP((A48-'Growth &amp; timing'!B5)/12,0))),$L$3,$M$3,$N$3,$O$3,$P$3)),1),0))</f>
        <v>0</v>
      </c>
      <c r="K48" s="52">
        <f>IF(B48&lt;G14,0,IF(MIN(H14,('Proforma (monthly)'!E32/E14))&gt;0,CEILING(MIN(H14,('Proforma (monthly)'!E32/E14)),1),0))</f>
        <v>0</v>
      </c>
      <c r="L48" s="52">
        <f>IF(B48&lt;G15,0,IF(MIN(H15,('Proforma (monthly)'!C32/E15))&gt;0,CEILING(MIN(H15,('Proforma (monthly)'!C32/E15)),1),0))</f>
        <v>0</v>
      </c>
      <c r="M48" s="52">
        <f>IF(B48&lt;G16,0,IF(MIN(H16,(L48/E16))&gt;0,CEILING(MIN(H16,(L48/E16)),1),0))</f>
        <v>0</v>
      </c>
      <c r="N48" s="52">
        <f>IF(B48&lt;G17,0,IF(MIN(H17,(E17+MAX(0,B48-G17)/12*F17))&gt;0,CEILING(MIN(H17,(E17+MAX(0,B48-G17)/12*F17)),1),0))</f>
        <v>3</v>
      </c>
      <c r="O48" s="52">
        <f t="shared" si="1"/>
        <v>10</v>
      </c>
      <c r="P48" s="52">
        <f>IF(B48&lt;G18,0,IF(MIN(H18,(O48/E18))&gt;0,CEILING(MIN(H18,(O48/E18)),1),0))</f>
        <v>1</v>
      </c>
      <c r="Q48" s="14">
        <f>(F48*D9*IF(B48&gt;=G9+24,Staffing!B6,1)+G48*D10*IF(B48&gt;=G10+24,Staffing!B6,1)+H48*D11*IF(B48&gt;=G11+24,Staffing!B6,1)+I48*D12*IF(B48&gt;=G12+24,Staffing!B6,1)+J48*D13*IF(B48&gt;=G13+24,Staffing!B6,1)+K48*D14*IF(B48&gt;=G14+24,Staffing!B6,1))/12</f>
        <v>7500</v>
      </c>
      <c r="R48" s="14">
        <f>(C48*D6*IF(B48&gt;=G6+24,Staffing!B6,1)+D48*D7*IF(B48&gt;=G7+24,Staffing!B6,1)+E48*D8*IF(B48&gt;=G8+24,Staffing!B6,1)+L48*D15*IF(B48&gt;=G15+24,Staffing!B6,1)+M48*D16*IF(B48&gt;=G16+24,Staffing!B6,1)+N48*D17*IF(B48&gt;=G17+24,Staffing!B6,1)+P48*D18*IF(B48&gt;=G18+24,Staffing!B6,1))/12</f>
        <v>151666.66666666666</v>
      </c>
      <c r="S48" s="52">
        <f t="shared" si="2"/>
        <v>11</v>
      </c>
    </row>
    <row r="49" spans="1:19" x14ac:dyDescent="0.25">
      <c r="A49" s="51">
        <v>28</v>
      </c>
      <c r="B49" s="52">
        <f t="shared" si="0"/>
        <v>27</v>
      </c>
      <c r="C49" s="52">
        <f>IF(B49&lt;G6,0,IF(MIN(H6,(E6+MAX(0,B49-G6)/12*F6))&gt;0,CEILING(MIN(H6,(E6+MAX(0,B49-G6)/12*F6)),1),0))</f>
        <v>3</v>
      </c>
      <c r="D49" s="52">
        <f>IF(B49&lt;G7,0,IF(MIN(H7,(E7+MAX(0,B49-G7)/12*F7))&gt;0,CEILING(MIN(H7,(E7+MAX(0,B49-G7)/12*F7)),1),0))</f>
        <v>3</v>
      </c>
      <c r="E49" s="52">
        <f>IF(B49&lt;G8,0,IF(MIN(H8,(E8+MAX(0,B49-G8)/12*F8))&gt;0,CEILING(MIN(H8,(E8+MAX(0,B49-G8)/12*F8)),1),0))</f>
        <v>0</v>
      </c>
      <c r="F49" s="52">
        <f>IF(B49&lt;G9,0,IF(MIN(H9,('Proforma (monthly)'!C33/E9))&gt;0,CEILING(MIN(H9,('Proforma (monthly)'!C33/E9)),1),0))</f>
        <v>1</v>
      </c>
      <c r="G49" s="52">
        <f>IF(B49&lt;G10,0,IF(MIN(H10,('Proforma (monthly)'!E33/E10))&gt;0,CEILING(MIN(H10,('Proforma (monthly)'!E33/E10)),1),0))</f>
        <v>0</v>
      </c>
      <c r="H49" s="52">
        <f>IF(B49&lt;G11,0,IF(MIN(H11,('Proforma (monthly)'!E33/E11))&gt;0,CEILING(MIN(H11,('Proforma (monthly)'!E33/E11)),1),0))</f>
        <v>0</v>
      </c>
      <c r="I49" s="52">
        <f>IF(B49&lt;G12,0,IF(MIN(H12,('Proforma (monthly)'!E33/E12))&gt;0,CEILING(MIN(H12,('Proforma (monthly)'!E33/E12)),1),0))</f>
        <v>0</v>
      </c>
      <c r="J49" s="52">
        <f>IF(B49&lt;G13,0,IF(MIN(H13,('Proforma (monthly)'!E33/E13)*CHOOSE(MIN(5,MAX(1,ROUNDUP((A49-'Growth &amp; timing'!B5)/12,0))),$L$3,$M$3,$N$3,$O$3,$P$3))&gt;0,CEILING(MIN(H13,('Proforma (monthly)'!E33/E13)*CHOOSE(MIN(5,MAX(1,ROUNDUP((A49-'Growth &amp; timing'!B5)/12,0))),$L$3,$M$3,$N$3,$O$3,$P$3)),1),0))</f>
        <v>0</v>
      </c>
      <c r="K49" s="52">
        <f>IF(B49&lt;G14,0,IF(MIN(H14,('Proforma (monthly)'!E33/E14))&gt;0,CEILING(MIN(H14,('Proforma (monthly)'!E33/E14)),1),0))</f>
        <v>0</v>
      </c>
      <c r="L49" s="52">
        <f>IF(B49&lt;G15,0,IF(MIN(H15,('Proforma (monthly)'!C33/E15))&gt;0,CEILING(MIN(H15,('Proforma (monthly)'!C33/E15)),1),0))</f>
        <v>0</v>
      </c>
      <c r="M49" s="52">
        <f>IF(B49&lt;G16,0,IF(MIN(H16,(L49/E16))&gt;0,CEILING(MIN(H16,(L49/E16)),1),0))</f>
        <v>0</v>
      </c>
      <c r="N49" s="52">
        <f>IF(B49&lt;G17,0,IF(MIN(H17,(E17+MAX(0,B49-G17)/12*F17))&gt;0,CEILING(MIN(H17,(E17+MAX(0,B49-G17)/12*F17)),1),0))</f>
        <v>3</v>
      </c>
      <c r="O49" s="52">
        <f t="shared" si="1"/>
        <v>10</v>
      </c>
      <c r="P49" s="52">
        <f>IF(B49&lt;G18,0,IF(MIN(H18,(O49/E18))&gt;0,CEILING(MIN(H18,(O49/E18)),1),0))</f>
        <v>1</v>
      </c>
      <c r="Q49" s="14">
        <f>(F49*D9*IF(B49&gt;=G9+24,Staffing!B6,1)+G49*D10*IF(B49&gt;=G10+24,Staffing!B6,1)+H49*D11*IF(B49&gt;=G11+24,Staffing!B6,1)+I49*D12*IF(B49&gt;=G12+24,Staffing!B6,1)+J49*D13*IF(B49&gt;=G13+24,Staffing!B6,1)+K49*D14*IF(B49&gt;=G14+24,Staffing!B6,1))/12</f>
        <v>7500</v>
      </c>
      <c r="R49" s="14">
        <f>(C49*D6*IF(B49&gt;=G6+24,Staffing!B6,1)+D49*D7*IF(B49&gt;=G7+24,Staffing!B6,1)+E49*D8*IF(B49&gt;=G8+24,Staffing!B6,1)+L49*D15*IF(B49&gt;=G15+24,Staffing!B6,1)+M49*D16*IF(B49&gt;=G16+24,Staffing!B6,1)+N49*D17*IF(B49&gt;=G17+24,Staffing!B6,1)+P49*D18*IF(B49&gt;=G18+24,Staffing!B6,1))/12</f>
        <v>151666.66666666666</v>
      </c>
      <c r="S49" s="52">
        <f t="shared" si="2"/>
        <v>11</v>
      </c>
    </row>
    <row r="50" spans="1:19" x14ac:dyDescent="0.25">
      <c r="A50" s="51">
        <v>29</v>
      </c>
      <c r="B50" s="52">
        <f t="shared" si="0"/>
        <v>28</v>
      </c>
      <c r="C50" s="52">
        <f>IF(B50&lt;G6,0,IF(MIN(H6,(E6+MAX(0,B50-G6)/12*F6))&gt;0,CEILING(MIN(H6,(E6+MAX(0,B50-G6)/12*F6)),1),0))</f>
        <v>3</v>
      </c>
      <c r="D50" s="52">
        <f>IF(B50&lt;G7,0,IF(MIN(H7,(E7+MAX(0,B50-G7)/12*F7))&gt;0,CEILING(MIN(H7,(E7+MAX(0,B50-G7)/12*F7)),1),0))</f>
        <v>3</v>
      </c>
      <c r="E50" s="52">
        <f>IF(B50&lt;G8,0,IF(MIN(H8,(E8+MAX(0,B50-G8)/12*F8))&gt;0,CEILING(MIN(H8,(E8+MAX(0,B50-G8)/12*F8)),1),0))</f>
        <v>0</v>
      </c>
      <c r="F50" s="52">
        <f>IF(B50&lt;G9,0,IF(MIN(H9,('Proforma (monthly)'!C34/E9))&gt;0,CEILING(MIN(H9,('Proforma (monthly)'!C34/E9)),1),0))</f>
        <v>1</v>
      </c>
      <c r="G50" s="52">
        <f>IF(B50&lt;G10,0,IF(MIN(H10,('Proforma (monthly)'!E34/E10))&gt;0,CEILING(MIN(H10,('Proforma (monthly)'!E34/E10)),1),0))</f>
        <v>1</v>
      </c>
      <c r="H50" s="52">
        <f>IF(B50&lt;G11,0,IF(MIN(H11,('Proforma (monthly)'!E34/E11))&gt;0,CEILING(MIN(H11,('Proforma (monthly)'!E34/E11)),1),0))</f>
        <v>0</v>
      </c>
      <c r="I50" s="52">
        <f>IF(B50&lt;G12,0,IF(MIN(H12,('Proforma (monthly)'!E34/E12))&gt;0,CEILING(MIN(H12,('Proforma (monthly)'!E34/E12)),1),0))</f>
        <v>1</v>
      </c>
      <c r="J50" s="52">
        <f>IF(B50&lt;G13,0,IF(MIN(H13,('Proforma (monthly)'!E34/E13)*CHOOSE(MIN(5,MAX(1,ROUNDUP((A50-'Growth &amp; timing'!B5)/12,0))),$L$3,$M$3,$N$3,$O$3,$P$3))&gt;0,CEILING(MIN(H13,('Proforma (monthly)'!E34/E13)*CHOOSE(MIN(5,MAX(1,ROUNDUP((A50-'Growth &amp; timing'!B5)/12,0))),$L$3,$M$3,$N$3,$O$3,$P$3)),1),0))</f>
        <v>3</v>
      </c>
      <c r="K50" s="52">
        <f>IF(B50&lt;G14,0,IF(MIN(H14,('Proforma (monthly)'!E34/E14))&gt;0,CEILING(MIN(H14,('Proforma (monthly)'!E34/E14)),1),0))</f>
        <v>0</v>
      </c>
      <c r="L50" s="52">
        <f>IF(B50&lt;G15,0,IF(MIN(H15,('Proforma (monthly)'!C34/E15))&gt;0,CEILING(MIN(H15,('Proforma (monthly)'!C34/E15)),1),0))</f>
        <v>0</v>
      </c>
      <c r="M50" s="52">
        <f>IF(B50&lt;G16,0,IF(MIN(H16,(L50/E16))&gt;0,CEILING(MIN(H16,(L50/E16)),1),0))</f>
        <v>0</v>
      </c>
      <c r="N50" s="52">
        <f>IF(B50&lt;G17,0,IF(MIN(H17,(E17+MAX(0,B50-G17)/12*F17))&gt;0,CEILING(MIN(H17,(E17+MAX(0,B50-G17)/12*F17)),1),0))</f>
        <v>3</v>
      </c>
      <c r="O50" s="52">
        <f t="shared" si="1"/>
        <v>15</v>
      </c>
      <c r="P50" s="52">
        <f>IF(B50&lt;G18,0,IF(MIN(H18,(O50/E18))&gt;0,CEILING(MIN(H18,(O50/E18)),1),0))</f>
        <v>1</v>
      </c>
      <c r="Q50" s="14">
        <f>(F50*D9*IF(B50&gt;=G9+24,Staffing!B6,1)+G50*D10*IF(B50&gt;=G10+24,Staffing!B6,1)+H50*D11*IF(B50&gt;=G11+24,Staffing!B6,1)+I50*D12*IF(B50&gt;=G12+24,Staffing!B6,1)+J50*D13*IF(B50&gt;=G13+24,Staffing!B6,1)+K50*D14*IF(B50&gt;=G14+24,Staffing!B6,1))/12</f>
        <v>40333.333333333336</v>
      </c>
      <c r="R50" s="14">
        <f>(C50*D6*IF(B50&gt;=G6+24,Staffing!B6,1)+D50*D7*IF(B50&gt;=G7+24,Staffing!B6,1)+E50*D8*IF(B50&gt;=G8+24,Staffing!B6,1)+L50*D15*IF(B50&gt;=G15+24,Staffing!B6,1)+M50*D16*IF(B50&gt;=G16+24,Staffing!B6,1)+N50*D17*IF(B50&gt;=G17+24,Staffing!B6,1)+P50*D18*IF(B50&gt;=G18+24,Staffing!B6,1))/12</f>
        <v>159166.66666666666</v>
      </c>
      <c r="S50" s="52">
        <f t="shared" si="2"/>
        <v>16</v>
      </c>
    </row>
    <row r="51" spans="1:19" x14ac:dyDescent="0.25">
      <c r="A51" s="51">
        <v>30</v>
      </c>
      <c r="B51" s="52">
        <f t="shared" si="0"/>
        <v>29</v>
      </c>
      <c r="C51" s="52">
        <f>IF(B51&lt;G6,0,IF(MIN(H6,(E6+MAX(0,B51-G6)/12*F6))&gt;0,CEILING(MIN(H6,(E6+MAX(0,B51-G6)/12*F6)),1),0))</f>
        <v>3</v>
      </c>
      <c r="D51" s="52">
        <f>IF(B51&lt;G7,0,IF(MIN(H7,(E7+MAX(0,B51-G7)/12*F7))&gt;0,CEILING(MIN(H7,(E7+MAX(0,B51-G7)/12*F7)),1),0))</f>
        <v>4</v>
      </c>
      <c r="E51" s="52">
        <f>IF(B51&lt;G8,0,IF(MIN(H8,(E8+MAX(0,B51-G8)/12*F8))&gt;0,CEILING(MIN(H8,(E8+MAX(0,B51-G8)/12*F8)),1),0))</f>
        <v>1</v>
      </c>
      <c r="F51" s="52">
        <f>IF(B51&lt;G9,0,IF(MIN(H9,('Proforma (monthly)'!C35/E9))&gt;0,CEILING(MIN(H9,('Proforma (monthly)'!C35/E9)),1),0))</f>
        <v>1</v>
      </c>
      <c r="G51" s="52">
        <f>IF(B51&lt;G10,0,IF(MIN(H10,('Proforma (monthly)'!E35/E10))&gt;0,CEILING(MIN(H10,('Proforma (monthly)'!E35/E10)),1),0))</f>
        <v>1</v>
      </c>
      <c r="H51" s="52">
        <f>IF(B51&lt;G11,0,IF(MIN(H11,('Proforma (monthly)'!E35/E11))&gt;0,CEILING(MIN(H11,('Proforma (monthly)'!E35/E11)),1),0))</f>
        <v>0</v>
      </c>
      <c r="I51" s="52">
        <f>IF(B51&lt;G12,0,IF(MIN(H12,('Proforma (monthly)'!E35/E12))&gt;0,CEILING(MIN(H12,('Proforma (monthly)'!E35/E12)),1),0))</f>
        <v>1</v>
      </c>
      <c r="J51" s="52">
        <f>IF(B51&lt;G13,0,IF(MIN(H13,('Proforma (monthly)'!E35/E13)*CHOOSE(MIN(5,MAX(1,ROUNDUP((A51-'Growth &amp; timing'!B5)/12,0))),$L$3,$M$3,$N$3,$O$3,$P$3))&gt;0,CEILING(MIN(H13,('Proforma (monthly)'!E35/E13)*CHOOSE(MIN(5,MAX(1,ROUNDUP((A51-'Growth &amp; timing'!B5)/12,0))),$L$3,$M$3,$N$3,$O$3,$P$3)),1),0))</f>
        <v>3</v>
      </c>
      <c r="K51" s="52">
        <f>IF(B51&lt;G14,0,IF(MIN(H14,('Proforma (monthly)'!E35/E14))&gt;0,CEILING(MIN(H14,('Proforma (monthly)'!E35/E14)),1),0))</f>
        <v>0</v>
      </c>
      <c r="L51" s="52">
        <f>IF(B51&lt;G15,0,IF(MIN(H15,('Proforma (monthly)'!C35/E15))&gt;0,CEILING(MIN(H15,('Proforma (monthly)'!C35/E15)),1),0))</f>
        <v>0</v>
      </c>
      <c r="M51" s="52">
        <f>IF(B51&lt;G16,0,IF(MIN(H16,(L51/E16))&gt;0,CEILING(MIN(H16,(L51/E16)),1),0))</f>
        <v>0</v>
      </c>
      <c r="N51" s="52">
        <f>IF(B51&lt;G17,0,IF(MIN(H17,(E17+MAX(0,B51-G17)/12*F17))&gt;0,CEILING(MIN(H17,(E17+MAX(0,B51-G17)/12*F17)),1),0))</f>
        <v>3</v>
      </c>
      <c r="O51" s="52">
        <f t="shared" si="1"/>
        <v>17</v>
      </c>
      <c r="P51" s="52">
        <f>IF(B51&lt;G18,0,IF(MIN(H18,(O51/E18))&gt;0,CEILING(MIN(H18,(O51/E18)),1),0))</f>
        <v>1</v>
      </c>
      <c r="Q51" s="14">
        <f>(F51*D9*IF(B51&gt;=G9+24,Staffing!B6,1)+G51*D10*IF(B51&gt;=G10+24,Staffing!B6,1)+H51*D11*IF(B51&gt;=G11+24,Staffing!B6,1)+I51*D12*IF(B51&gt;=G12+24,Staffing!B6,1)+J51*D13*IF(B51&gt;=G13+24,Staffing!B6,1)+K51*D14*IF(B51&gt;=G14+24,Staffing!B6,1))/12</f>
        <v>40333.333333333336</v>
      </c>
      <c r="R51" s="14">
        <f>(C51*D6*IF(B51&gt;=G6+24,Staffing!B6,1)+D51*D7*IF(B51&gt;=G7+24,Staffing!B6,1)+E51*D8*IF(B51&gt;=G8+24,Staffing!B6,1)+L51*D15*IF(B51&gt;=G15+24,Staffing!B6,1)+M51*D16*IF(B51&gt;=G16+24,Staffing!B6,1)+N51*D17*IF(B51&gt;=G17+24,Staffing!B6,1)+P51*D18*IF(B51&gt;=G18+24,Staffing!B6,1))/12</f>
        <v>183333.33333333334</v>
      </c>
      <c r="S51" s="52">
        <f t="shared" si="2"/>
        <v>18</v>
      </c>
    </row>
    <row r="52" spans="1:19" x14ac:dyDescent="0.25">
      <c r="A52" s="51">
        <v>31</v>
      </c>
      <c r="B52" s="52">
        <f t="shared" si="0"/>
        <v>30</v>
      </c>
      <c r="C52" s="52">
        <f>IF(B52&lt;G6,0,IF(MIN(H6,(E6+MAX(0,B52-G6)/12*F6))&gt;0,CEILING(MIN(H6,(E6+MAX(0,B52-G6)/12*F6)),1),0))</f>
        <v>3</v>
      </c>
      <c r="D52" s="52">
        <f>IF(B52&lt;G7,0,IF(MIN(H7,(E7+MAX(0,B52-G7)/12*F7))&gt;0,CEILING(MIN(H7,(E7+MAX(0,B52-G7)/12*F7)),1),0))</f>
        <v>4</v>
      </c>
      <c r="E52" s="52">
        <f>IF(B52&lt;G8,0,IF(MIN(H8,(E8+MAX(0,B52-G8)/12*F8))&gt;0,CEILING(MIN(H8,(E8+MAX(0,B52-G8)/12*F8)),1),0))</f>
        <v>1</v>
      </c>
      <c r="F52" s="52">
        <f>IF(B52&lt;G9,0,IF(MIN(H9,('Proforma (monthly)'!C36/E9))&gt;0,CEILING(MIN(H9,('Proforma (monthly)'!C36/E9)),1),0))</f>
        <v>1</v>
      </c>
      <c r="G52" s="52">
        <f>IF(B52&lt;G10,0,IF(MIN(H10,('Proforma (monthly)'!E36/E10))&gt;0,CEILING(MIN(H10,('Proforma (monthly)'!E36/E10)),1),0))</f>
        <v>1</v>
      </c>
      <c r="H52" s="52">
        <f>IF(B52&lt;G11,0,IF(MIN(H11,('Proforma (monthly)'!E36/E11))&gt;0,CEILING(MIN(H11,('Proforma (monthly)'!E36/E11)),1),0))</f>
        <v>1</v>
      </c>
      <c r="I52" s="52">
        <f>IF(B52&lt;G12,0,IF(MIN(H12,('Proforma (monthly)'!E36/E12))&gt;0,CEILING(MIN(H12,('Proforma (monthly)'!E36/E12)),1),0))</f>
        <v>1</v>
      </c>
      <c r="J52" s="52">
        <f>IF(B52&lt;G13,0,IF(MIN(H13,('Proforma (monthly)'!E36/E13)*CHOOSE(MIN(5,MAX(1,ROUNDUP((A52-'Growth &amp; timing'!B5)/12,0))),$L$3,$M$3,$N$3,$O$3,$P$3))&gt;0,CEILING(MIN(H13,('Proforma (monthly)'!E36/E13)*CHOOSE(MIN(5,MAX(1,ROUNDUP((A52-'Growth &amp; timing'!B5)/12,0))),$L$3,$M$3,$N$3,$O$3,$P$3)),1),0))</f>
        <v>3</v>
      </c>
      <c r="K52" s="52">
        <f>IF(B52&lt;G14,0,IF(MIN(H14,('Proforma (monthly)'!E36/E14))&gt;0,CEILING(MIN(H14,('Proforma (monthly)'!E36/E14)),1),0))</f>
        <v>0</v>
      </c>
      <c r="L52" s="52">
        <f>IF(B52&lt;G15,0,IF(MIN(H15,('Proforma (monthly)'!C36/E15))&gt;0,CEILING(MIN(H15,('Proforma (monthly)'!C36/E15)),1),0))</f>
        <v>0</v>
      </c>
      <c r="M52" s="52">
        <f>IF(B52&lt;G16,0,IF(MIN(H16,(L52/E16))&gt;0,CEILING(MIN(H16,(L52/E16)),1),0))</f>
        <v>0</v>
      </c>
      <c r="N52" s="52">
        <f>IF(B52&lt;G17,0,IF(MIN(H17,(E17+MAX(0,B52-G17)/12*F17))&gt;0,CEILING(MIN(H17,(E17+MAX(0,B52-G17)/12*F17)),1),0))</f>
        <v>3</v>
      </c>
      <c r="O52" s="52">
        <f t="shared" si="1"/>
        <v>18</v>
      </c>
      <c r="P52" s="52">
        <f>IF(B52&lt;G18,0,IF(MIN(H18,(O52/E18))&gt;0,CEILING(MIN(H18,(O52/E18)),1),0))</f>
        <v>1</v>
      </c>
      <c r="Q52" s="14">
        <f>(F52*D9*IF(B52&gt;=G9+24,Staffing!B6,1)+G52*D10*IF(B52&gt;=G10+24,Staffing!B6,1)+H52*D11*IF(B52&gt;=G11+24,Staffing!B6,1)+I52*D12*IF(B52&gt;=G12+24,Staffing!B6,1)+J52*D13*IF(B52&gt;=G13+24,Staffing!B6,1)+K52*D14*IF(B52&gt;=G14+24,Staffing!B6,1))/12</f>
        <v>45333.333333333336</v>
      </c>
      <c r="R52" s="14">
        <f>(C52*D6*IF(B52&gt;=G6+24,Staffing!B6,1)+D52*D7*IF(B52&gt;=G7+24,Staffing!B6,1)+E52*D8*IF(B52&gt;=G8+24,Staffing!B6,1)+L52*D15*IF(B52&gt;=G15+24,Staffing!B6,1)+M52*D16*IF(B52&gt;=G16+24,Staffing!B6,1)+N52*D17*IF(B52&gt;=G17+24,Staffing!B6,1)+P52*D18*IF(B52&gt;=G18+24,Staffing!B6,1))/12</f>
        <v>183333.33333333334</v>
      </c>
      <c r="S52" s="52">
        <f t="shared" si="2"/>
        <v>19</v>
      </c>
    </row>
    <row r="53" spans="1:19" x14ac:dyDescent="0.25">
      <c r="A53" s="51">
        <v>32</v>
      </c>
      <c r="B53" s="52">
        <f t="shared" si="0"/>
        <v>31</v>
      </c>
      <c r="C53" s="52">
        <f>IF(B53&lt;G6,0,IF(MIN(H6,(E6+MAX(0,B53-G6)/12*F6))&gt;0,CEILING(MIN(H6,(E6+MAX(0,B53-G6)/12*F6)),1),0))</f>
        <v>3</v>
      </c>
      <c r="D53" s="52">
        <f>IF(B53&lt;G7,0,IF(MIN(H7,(E7+MAX(0,B53-G7)/12*F7))&gt;0,CEILING(MIN(H7,(E7+MAX(0,B53-G7)/12*F7)),1),0))</f>
        <v>4</v>
      </c>
      <c r="E53" s="52">
        <f>IF(B53&lt;G8,0,IF(MIN(H8,(E8+MAX(0,B53-G8)/12*F8))&gt;0,CEILING(MIN(H8,(E8+MAX(0,B53-G8)/12*F8)),1),0))</f>
        <v>1</v>
      </c>
      <c r="F53" s="52">
        <f>IF(B53&lt;G9,0,IF(MIN(H9,('Proforma (monthly)'!C37/E9))&gt;0,CEILING(MIN(H9,('Proforma (monthly)'!C37/E9)),1),0))</f>
        <v>1</v>
      </c>
      <c r="G53" s="52">
        <f>IF(B53&lt;G10,0,IF(MIN(H10,('Proforma (monthly)'!E37/E10))&gt;0,CEILING(MIN(H10,('Proforma (monthly)'!E37/E10)),1),0))</f>
        <v>1</v>
      </c>
      <c r="H53" s="52">
        <f>IF(B53&lt;G11,0,IF(MIN(H11,('Proforma (monthly)'!E37/E11))&gt;0,CEILING(MIN(H11,('Proforma (monthly)'!E37/E11)),1),0))</f>
        <v>1</v>
      </c>
      <c r="I53" s="52">
        <f>IF(B53&lt;G12,0,IF(MIN(H12,('Proforma (monthly)'!E37/E12))&gt;0,CEILING(MIN(H12,('Proforma (monthly)'!E37/E12)),1),0))</f>
        <v>1</v>
      </c>
      <c r="J53" s="52">
        <f>IF(B53&lt;G13,0,IF(MIN(H13,('Proforma (monthly)'!E37/E13)*CHOOSE(MIN(5,MAX(1,ROUNDUP((A53-'Growth &amp; timing'!B5)/12,0))),$L$3,$M$3,$N$3,$O$3,$P$3))&gt;0,CEILING(MIN(H13,('Proforma (monthly)'!E37/E13)*CHOOSE(MIN(5,MAX(1,ROUNDUP((A53-'Growth &amp; timing'!B5)/12,0))),$L$3,$M$3,$N$3,$O$3,$P$3)),1),0))</f>
        <v>3</v>
      </c>
      <c r="K53" s="52">
        <f>IF(B53&lt;G14,0,IF(MIN(H14,('Proforma (monthly)'!E37/E14))&gt;0,CEILING(MIN(H14,('Proforma (monthly)'!E37/E14)),1),0))</f>
        <v>0</v>
      </c>
      <c r="L53" s="52">
        <f>IF(B53&lt;G15,0,IF(MIN(H15,('Proforma (monthly)'!C37/E15))&gt;0,CEILING(MIN(H15,('Proforma (monthly)'!C37/E15)),1),0))</f>
        <v>0</v>
      </c>
      <c r="M53" s="52">
        <f>IF(B53&lt;G16,0,IF(MIN(H16,(L53/E16))&gt;0,CEILING(MIN(H16,(L53/E16)),1),0))</f>
        <v>0</v>
      </c>
      <c r="N53" s="52">
        <f>IF(B53&lt;G17,0,IF(MIN(H17,(E17+MAX(0,B53-G17)/12*F17))&gt;0,CEILING(MIN(H17,(E17+MAX(0,B53-G17)/12*F17)),1),0))</f>
        <v>3</v>
      </c>
      <c r="O53" s="52">
        <f t="shared" si="1"/>
        <v>18</v>
      </c>
      <c r="P53" s="52">
        <f>IF(B53&lt;G18,0,IF(MIN(H18,(O53/E18))&gt;0,CEILING(MIN(H18,(O53/E18)),1),0))</f>
        <v>1</v>
      </c>
      <c r="Q53" s="14">
        <f>(F53*D9*IF(B53&gt;=G9+24,Staffing!B6,1)+G53*D10*IF(B53&gt;=G10+24,Staffing!B6,1)+H53*D11*IF(B53&gt;=G11+24,Staffing!B6,1)+I53*D12*IF(B53&gt;=G12+24,Staffing!B6,1)+J53*D13*IF(B53&gt;=G13+24,Staffing!B6,1)+K53*D14*IF(B53&gt;=G14+24,Staffing!B6,1))/12</f>
        <v>45333.333333333336</v>
      </c>
      <c r="R53" s="14">
        <f>(C53*D6*IF(B53&gt;=G6+24,Staffing!B6,1)+D53*D7*IF(B53&gt;=G7+24,Staffing!B6,1)+E53*D8*IF(B53&gt;=G8+24,Staffing!B6,1)+L53*D15*IF(B53&gt;=G15+24,Staffing!B6,1)+M53*D16*IF(B53&gt;=G16+24,Staffing!B6,1)+N53*D17*IF(B53&gt;=G17+24,Staffing!B6,1)+P53*D18*IF(B53&gt;=G18+24,Staffing!B6,1))/12</f>
        <v>183333.33333333334</v>
      </c>
      <c r="S53" s="52">
        <f t="shared" si="2"/>
        <v>19</v>
      </c>
    </row>
    <row r="54" spans="1:19" x14ac:dyDescent="0.25">
      <c r="A54" s="51">
        <v>33</v>
      </c>
      <c r="B54" s="52">
        <f t="shared" ref="B54:B85" si="3">A54-1</f>
        <v>32</v>
      </c>
      <c r="C54" s="52">
        <f>IF(B54&lt;G6,0,IF(MIN(H6,(E6+MAX(0,B54-G6)/12*F6))&gt;0,CEILING(MIN(H6,(E6+MAX(0,B54-G6)/12*F6)),1),0))</f>
        <v>3</v>
      </c>
      <c r="D54" s="52">
        <f>IF(B54&lt;G7,0,IF(MIN(H7,(E7+MAX(0,B54-G7)/12*F7))&gt;0,CEILING(MIN(H7,(E7+MAX(0,B54-G7)/12*F7)),1),0))</f>
        <v>4</v>
      </c>
      <c r="E54" s="52">
        <f>IF(B54&lt;G8,0,IF(MIN(H8,(E8+MAX(0,B54-G8)/12*F8))&gt;0,CEILING(MIN(H8,(E8+MAX(0,B54-G8)/12*F8)),1),0))</f>
        <v>1</v>
      </c>
      <c r="F54" s="52">
        <f>IF(B54&lt;G9,0,IF(MIN(H9,('Proforma (monthly)'!C38/E9))&gt;0,CEILING(MIN(H9,('Proforma (monthly)'!C38/E9)),1),0))</f>
        <v>1</v>
      </c>
      <c r="G54" s="52">
        <f>IF(B54&lt;G10,0,IF(MIN(H10,('Proforma (monthly)'!E38/E10))&gt;0,CEILING(MIN(H10,('Proforma (monthly)'!E38/E10)),1),0))</f>
        <v>1</v>
      </c>
      <c r="H54" s="52">
        <f>IF(B54&lt;G11,0,IF(MIN(H11,('Proforma (monthly)'!E38/E11))&gt;0,CEILING(MIN(H11,('Proforma (monthly)'!E38/E11)),1),0))</f>
        <v>1</v>
      </c>
      <c r="I54" s="52">
        <f>IF(B54&lt;G12,0,IF(MIN(H12,('Proforma (monthly)'!E38/E12))&gt;0,CEILING(MIN(H12,('Proforma (monthly)'!E38/E12)),1),0))</f>
        <v>1</v>
      </c>
      <c r="J54" s="52">
        <f>IF(B54&lt;G13,0,IF(MIN(H13,('Proforma (monthly)'!E38/E13)*CHOOSE(MIN(5,MAX(1,ROUNDUP((A54-'Growth &amp; timing'!B5)/12,0))),$L$3,$M$3,$N$3,$O$3,$P$3))&gt;0,CEILING(MIN(H13,('Proforma (monthly)'!E38/E13)*CHOOSE(MIN(5,MAX(1,ROUNDUP((A54-'Growth &amp; timing'!B5)/12,0))),$L$3,$M$3,$N$3,$O$3,$P$3)),1),0))</f>
        <v>4</v>
      </c>
      <c r="K54" s="52">
        <f>IF(B54&lt;G14,0,IF(MIN(H14,('Proforma (monthly)'!E38/E14))&gt;0,CEILING(MIN(H14,('Proforma (monthly)'!E38/E14)),1),0))</f>
        <v>1</v>
      </c>
      <c r="L54" s="52">
        <f>IF(B54&lt;G15,0,IF(MIN(H15,('Proforma (monthly)'!C38/E15))&gt;0,CEILING(MIN(H15,('Proforma (monthly)'!C38/E15)),1),0))</f>
        <v>1</v>
      </c>
      <c r="M54" s="52">
        <f>IF(B54&lt;G16,0,IF(MIN(H16,(L54/E16))&gt;0,CEILING(MIN(H16,(L54/E16)),1),0))</f>
        <v>0</v>
      </c>
      <c r="N54" s="52">
        <f>IF(B54&lt;G17,0,IF(MIN(H17,(E17+MAX(0,B54-G17)/12*F17))&gt;0,CEILING(MIN(H17,(E17+MAX(0,B54-G17)/12*F17)),1),0))</f>
        <v>3</v>
      </c>
      <c r="O54" s="52">
        <f t="shared" ref="O54:O85" si="4">SUM(C54:N54)</f>
        <v>21</v>
      </c>
      <c r="P54" s="52">
        <f>IF(B54&lt;G18,0,IF(MIN(H18,(O54/E18))&gt;0,CEILING(MIN(H18,(O54/E18)),1),0))</f>
        <v>1</v>
      </c>
      <c r="Q54" s="14">
        <f>(F54*D9*IF(B54&gt;=G9+24,Staffing!B6,1)+G54*D10*IF(B54&gt;=G10+24,Staffing!B6,1)+H54*D11*IF(B54&gt;=G11+24,Staffing!B6,1)+I54*D12*IF(B54&gt;=G12+24,Staffing!B6,1)+J54*D13*IF(B54&gt;=G13+24,Staffing!B6,1)+K54*D14*IF(B54&gt;=G14+24,Staffing!B6,1))/12</f>
        <v>57666.666666666664</v>
      </c>
      <c r="R54" s="14">
        <f>(C54*D6*IF(B54&gt;=G6+24,Staffing!B6,1)+D54*D7*IF(B54&gt;=G7+24,Staffing!B6,1)+E54*D8*IF(B54&gt;=G8+24,Staffing!B6,1)+L54*D15*IF(B54&gt;=G15+24,Staffing!B6,1)+M54*D16*IF(B54&gt;=G16+24,Staffing!B6,1)+N54*D17*IF(B54&gt;=G17+24,Staffing!B6,1)+P54*D18*IF(B54&gt;=G18+24,Staffing!B6,1))/12</f>
        <v>195000</v>
      </c>
      <c r="S54" s="52">
        <f t="shared" ref="S54:S85" si="5">O54+P54</f>
        <v>22</v>
      </c>
    </row>
    <row r="55" spans="1:19" x14ac:dyDescent="0.25">
      <c r="A55" s="51">
        <v>34</v>
      </c>
      <c r="B55" s="52">
        <f t="shared" si="3"/>
        <v>33</v>
      </c>
      <c r="C55" s="52">
        <f>IF(B55&lt;G6,0,IF(MIN(H6,(E6+MAX(0,B55-G6)/12*F6))&gt;0,CEILING(MIN(H6,(E6+MAX(0,B55-G6)/12*F6)),1),0))</f>
        <v>3</v>
      </c>
      <c r="D55" s="52">
        <f>IF(B55&lt;G7,0,IF(MIN(H7,(E7+MAX(0,B55-G7)/12*F7))&gt;0,CEILING(MIN(H7,(E7+MAX(0,B55-G7)/12*F7)),1),0))</f>
        <v>4</v>
      </c>
      <c r="E55" s="52">
        <f>IF(B55&lt;G8,0,IF(MIN(H8,(E8+MAX(0,B55-G8)/12*F8))&gt;0,CEILING(MIN(H8,(E8+MAX(0,B55-G8)/12*F8)),1),0))</f>
        <v>1</v>
      </c>
      <c r="F55" s="52">
        <f>IF(B55&lt;G9,0,IF(MIN(H9,('Proforma (monthly)'!C39/E9))&gt;0,CEILING(MIN(H9,('Proforma (monthly)'!C39/E9)),1),0))</f>
        <v>1</v>
      </c>
      <c r="G55" s="52">
        <f>IF(B55&lt;G10,0,IF(MIN(H10,('Proforma (monthly)'!E39/E10))&gt;0,CEILING(MIN(H10,('Proforma (monthly)'!E39/E10)),1),0))</f>
        <v>1</v>
      </c>
      <c r="H55" s="52">
        <f>IF(B55&lt;G11,0,IF(MIN(H11,('Proforma (monthly)'!E39/E11))&gt;0,CEILING(MIN(H11,('Proforma (monthly)'!E39/E11)),1),0))</f>
        <v>1</v>
      </c>
      <c r="I55" s="52">
        <f>IF(B55&lt;G12,0,IF(MIN(H12,('Proforma (monthly)'!E39/E12))&gt;0,CEILING(MIN(H12,('Proforma (monthly)'!E39/E12)),1),0))</f>
        <v>1</v>
      </c>
      <c r="J55" s="52">
        <f>IF(B55&lt;G13,0,IF(MIN(H13,('Proforma (monthly)'!E39/E13)*CHOOSE(MIN(5,MAX(1,ROUNDUP((A55-'Growth &amp; timing'!B5)/12,0))),$L$3,$M$3,$N$3,$O$3,$P$3))&gt;0,CEILING(MIN(H13,('Proforma (monthly)'!E39/E13)*CHOOSE(MIN(5,MAX(1,ROUNDUP((A55-'Growth &amp; timing'!B5)/12,0))),$L$3,$M$3,$N$3,$O$3,$P$3)),1),0))</f>
        <v>4</v>
      </c>
      <c r="K55" s="52">
        <f>IF(B55&lt;G14,0,IF(MIN(H14,('Proforma (monthly)'!E39/E14))&gt;0,CEILING(MIN(H14,('Proforma (monthly)'!E39/E14)),1),0))</f>
        <v>1</v>
      </c>
      <c r="L55" s="52">
        <f>IF(B55&lt;G15,0,IF(MIN(H15,('Proforma (monthly)'!C39/E15))&gt;0,CEILING(MIN(H15,('Proforma (monthly)'!C39/E15)),1),0))</f>
        <v>1</v>
      </c>
      <c r="M55" s="52">
        <f>IF(B55&lt;G16,0,IF(MIN(H16,(L55/E16))&gt;0,CEILING(MIN(H16,(L55/E16)),1),0))</f>
        <v>1</v>
      </c>
      <c r="N55" s="52">
        <f>IF(B55&lt;G17,0,IF(MIN(H17,(E17+MAX(0,B55-G17)/12*F17))&gt;0,CEILING(MIN(H17,(E17+MAX(0,B55-G17)/12*F17)),1),0))</f>
        <v>3</v>
      </c>
      <c r="O55" s="52">
        <f t="shared" si="4"/>
        <v>22</v>
      </c>
      <c r="P55" s="52">
        <f>IF(B55&lt;G18,0,IF(MIN(H18,(O55/E18))&gt;0,CEILING(MIN(H18,(O55/E18)),1),0))</f>
        <v>1</v>
      </c>
      <c r="Q55" s="14">
        <f>(F55*D9*IF(B55&gt;=G9+24,Staffing!B6,1)+G55*D10*IF(B55&gt;=G10+24,Staffing!B6,1)+H55*D11*IF(B55&gt;=G11+24,Staffing!B6,1)+I55*D12*IF(B55&gt;=G12+24,Staffing!B6,1)+J55*D13*IF(B55&gt;=G13+24,Staffing!B6,1)+K55*D14*IF(B55&gt;=G14+24,Staffing!B6,1))/12</f>
        <v>57666.666666666664</v>
      </c>
      <c r="R55" s="14">
        <f>(C55*D6*IF(B55&gt;=G6+24,Staffing!B6,1)+D55*D7*IF(B55&gt;=G7+24,Staffing!B6,1)+E55*D8*IF(B55&gt;=G8+24,Staffing!B6,1)+L55*D15*IF(B55&gt;=G15+24,Staffing!B6,1)+M55*D16*IF(B55&gt;=G16+24,Staffing!B6,1)+N55*D17*IF(B55&gt;=G17+24,Staffing!B6,1)+P55*D18*IF(B55&gt;=G18+24,Staffing!B6,1))/12</f>
        <v>200833.33333333334</v>
      </c>
      <c r="S55" s="52">
        <f t="shared" si="5"/>
        <v>23</v>
      </c>
    </row>
    <row r="56" spans="1:19" x14ac:dyDescent="0.25">
      <c r="A56" s="51">
        <v>35</v>
      </c>
      <c r="B56" s="52">
        <f t="shared" si="3"/>
        <v>34</v>
      </c>
      <c r="C56" s="52">
        <f>IF(B56&lt;G6,0,IF(MIN(H6,(E6+MAX(0,B56-G6)/12*F6))&gt;0,CEILING(MIN(H6,(E6+MAX(0,B56-G6)/12*F6)),1),0))</f>
        <v>3</v>
      </c>
      <c r="D56" s="52">
        <f>IF(B56&lt;G7,0,IF(MIN(H7,(E7+MAX(0,B56-G7)/12*F7))&gt;0,CEILING(MIN(H7,(E7+MAX(0,B56-G7)/12*F7)),1),0))</f>
        <v>4</v>
      </c>
      <c r="E56" s="52">
        <f>IF(B56&lt;G8,0,IF(MIN(H8,(E8+MAX(0,B56-G8)/12*F8))&gt;0,CEILING(MIN(H8,(E8+MAX(0,B56-G8)/12*F8)),1),0))</f>
        <v>1</v>
      </c>
      <c r="F56" s="52">
        <f>IF(B56&lt;G9,0,IF(MIN(H9,('Proforma (monthly)'!C40/E9))&gt;0,CEILING(MIN(H9,('Proforma (monthly)'!C40/E9)),1),0))</f>
        <v>1</v>
      </c>
      <c r="G56" s="52">
        <f>IF(B56&lt;G10,0,IF(MIN(H10,('Proforma (monthly)'!E40/E10))&gt;0,CEILING(MIN(H10,('Proforma (monthly)'!E40/E10)),1),0))</f>
        <v>1</v>
      </c>
      <c r="H56" s="52">
        <f>IF(B56&lt;G11,0,IF(MIN(H11,('Proforma (monthly)'!E40/E11))&gt;0,CEILING(MIN(H11,('Proforma (monthly)'!E40/E11)),1),0))</f>
        <v>1</v>
      </c>
      <c r="I56" s="52">
        <f>IF(B56&lt;G12,0,IF(MIN(H12,('Proforma (monthly)'!E40/E12))&gt;0,CEILING(MIN(H12,('Proforma (monthly)'!E40/E12)),1),0))</f>
        <v>1</v>
      </c>
      <c r="J56" s="52">
        <f>IF(B56&lt;G13,0,IF(MIN(H13,('Proforma (monthly)'!E40/E13)*CHOOSE(MIN(5,MAX(1,ROUNDUP((A56-'Growth &amp; timing'!B5)/12,0))),$L$3,$M$3,$N$3,$O$3,$P$3))&gt;0,CEILING(MIN(H13,('Proforma (monthly)'!E40/E13)*CHOOSE(MIN(5,MAX(1,ROUNDUP((A56-'Growth &amp; timing'!B5)/12,0))),$L$3,$M$3,$N$3,$O$3,$P$3)),1),0))</f>
        <v>4</v>
      </c>
      <c r="K56" s="52">
        <f>IF(B56&lt;G14,0,IF(MIN(H14,('Proforma (monthly)'!E40/E14))&gt;0,CEILING(MIN(H14,('Proforma (monthly)'!E40/E14)),1),0))</f>
        <v>1</v>
      </c>
      <c r="L56" s="52">
        <f>IF(B56&lt;G15,0,IF(MIN(H15,('Proforma (monthly)'!C40/E15))&gt;0,CEILING(MIN(H15,('Proforma (monthly)'!C40/E15)),1),0))</f>
        <v>1</v>
      </c>
      <c r="M56" s="52">
        <f>IF(B56&lt;G16,0,IF(MIN(H16,(L56/E16))&gt;0,CEILING(MIN(H16,(L56/E16)),1),0))</f>
        <v>1</v>
      </c>
      <c r="N56" s="52">
        <f>IF(B56&lt;G17,0,IF(MIN(H17,(E17+MAX(0,B56-G17)/12*F17))&gt;0,CEILING(MIN(H17,(E17+MAX(0,B56-G17)/12*F17)),1),0))</f>
        <v>3</v>
      </c>
      <c r="O56" s="52">
        <f t="shared" si="4"/>
        <v>22</v>
      </c>
      <c r="P56" s="52">
        <f>IF(B56&lt;G18,0,IF(MIN(H18,(O56/E18))&gt;0,CEILING(MIN(H18,(O56/E18)),1),0))</f>
        <v>1</v>
      </c>
      <c r="Q56" s="14">
        <f>(F56*D9*IF(B56&gt;=G9+24,Staffing!B6,1)+G56*D10*IF(B56&gt;=G10+24,Staffing!B6,1)+H56*D11*IF(B56&gt;=G11+24,Staffing!B6,1)+I56*D12*IF(B56&gt;=G12+24,Staffing!B6,1)+J56*D13*IF(B56&gt;=G13+24,Staffing!B6,1)+K56*D14*IF(B56&gt;=G14+24,Staffing!B6,1))/12</f>
        <v>57666.666666666664</v>
      </c>
      <c r="R56" s="14">
        <f>(C56*D6*IF(B56&gt;=G6+24,Staffing!B6,1)+D56*D7*IF(B56&gt;=G7+24,Staffing!B6,1)+E56*D8*IF(B56&gt;=G8+24,Staffing!B6,1)+L56*D15*IF(B56&gt;=G15+24,Staffing!B6,1)+M56*D16*IF(B56&gt;=G16+24,Staffing!B6,1)+N56*D17*IF(B56&gt;=G17+24,Staffing!B6,1)+P56*D18*IF(B56&gt;=G18+24,Staffing!B6,1))/12</f>
        <v>209833.33333333334</v>
      </c>
      <c r="S56" s="52">
        <f t="shared" si="5"/>
        <v>23</v>
      </c>
    </row>
    <row r="57" spans="1:19" x14ac:dyDescent="0.25">
      <c r="A57" s="51">
        <v>36</v>
      </c>
      <c r="B57" s="52">
        <f t="shared" si="3"/>
        <v>35</v>
      </c>
      <c r="C57" s="52">
        <f>IF(B57&lt;G6,0,IF(MIN(H6,(E6+MAX(0,B57-G6)/12*F6))&gt;0,CEILING(MIN(H6,(E6+MAX(0,B57-G6)/12*F6)),1),0))</f>
        <v>3</v>
      </c>
      <c r="D57" s="52">
        <f>IF(B57&lt;G7,0,IF(MIN(H7,(E7+MAX(0,B57-G7)/12*F7))&gt;0,CEILING(MIN(H7,(E7+MAX(0,B57-G7)/12*F7)),1),0))</f>
        <v>4</v>
      </c>
      <c r="E57" s="52">
        <f>IF(B57&lt;G8,0,IF(MIN(H8,(E8+MAX(0,B57-G8)/12*F8))&gt;0,CEILING(MIN(H8,(E8+MAX(0,B57-G8)/12*F8)),1),0))</f>
        <v>1</v>
      </c>
      <c r="F57" s="52">
        <f>IF(B57&lt;G9,0,IF(MIN(H9,('Proforma (monthly)'!C41/E9))&gt;0,CEILING(MIN(H9,('Proforma (monthly)'!C41/E9)),1),0))</f>
        <v>1</v>
      </c>
      <c r="G57" s="52">
        <f>IF(B57&lt;G10,0,IF(MIN(H10,('Proforma (monthly)'!E41/E10))&gt;0,CEILING(MIN(H10,('Proforma (monthly)'!E41/E10)),1),0))</f>
        <v>1</v>
      </c>
      <c r="H57" s="52">
        <f>IF(B57&lt;G11,0,IF(MIN(H11,('Proforma (monthly)'!E41/E11))&gt;0,CEILING(MIN(H11,('Proforma (monthly)'!E41/E11)),1),0))</f>
        <v>2</v>
      </c>
      <c r="I57" s="52">
        <f>IF(B57&lt;G12,0,IF(MIN(H12,('Proforma (monthly)'!E41/E12))&gt;0,CEILING(MIN(H12,('Proforma (monthly)'!E41/E12)),1),0))</f>
        <v>1</v>
      </c>
      <c r="J57" s="52">
        <f>IF(B57&lt;G13,0,IF(MIN(H13,('Proforma (monthly)'!E41/E13)*CHOOSE(MIN(5,MAX(1,ROUNDUP((A57-'Growth &amp; timing'!B5)/12,0))),$L$3,$M$3,$N$3,$O$3,$P$3))&gt;0,CEILING(MIN(H13,('Proforma (monthly)'!E41/E13)*CHOOSE(MIN(5,MAX(1,ROUNDUP((A57-'Growth &amp; timing'!B5)/12,0))),$L$3,$M$3,$N$3,$O$3,$P$3)),1),0))</f>
        <v>4</v>
      </c>
      <c r="K57" s="52">
        <f>IF(B57&lt;G14,0,IF(MIN(H14,('Proforma (monthly)'!E41/E14))&gt;0,CEILING(MIN(H14,('Proforma (monthly)'!E41/E14)),1),0))</f>
        <v>1</v>
      </c>
      <c r="L57" s="52">
        <f>IF(B57&lt;G15,0,IF(MIN(H15,('Proforma (monthly)'!C41/E15))&gt;0,CEILING(MIN(H15,('Proforma (monthly)'!C41/E15)),1),0))</f>
        <v>1</v>
      </c>
      <c r="M57" s="52">
        <f>IF(B57&lt;G16,0,IF(MIN(H16,(L57/E16))&gt;0,CEILING(MIN(H16,(L57/E16)),1),0))</f>
        <v>1</v>
      </c>
      <c r="N57" s="52">
        <f>IF(B57&lt;G17,0,IF(MIN(H17,(E17+MAX(0,B57-G17)/12*F17))&gt;0,CEILING(MIN(H17,(E17+MAX(0,B57-G17)/12*F17)),1),0))</f>
        <v>3</v>
      </c>
      <c r="O57" s="52">
        <f t="shared" si="4"/>
        <v>23</v>
      </c>
      <c r="P57" s="52">
        <f>IF(B57&lt;G18,0,IF(MIN(H18,(O57/E18))&gt;0,CEILING(MIN(H18,(O57/E18)),1),0))</f>
        <v>1</v>
      </c>
      <c r="Q57" s="14">
        <f>(F57*D9*IF(B57&gt;=G9+24,Staffing!B6,1)+G57*D10*IF(B57&gt;=G10+24,Staffing!B6,1)+H57*D11*IF(B57&gt;=G11+24,Staffing!B6,1)+I57*D12*IF(B57&gt;=G12+24,Staffing!B6,1)+J57*D13*IF(B57&gt;=G13+24,Staffing!B6,1)+K57*D14*IF(B57&gt;=G14+24,Staffing!B6,1))/12</f>
        <v>62666.666666666664</v>
      </c>
      <c r="R57" s="14">
        <f>(C57*D6*IF(B57&gt;=G6+24,Staffing!B6,1)+D57*D7*IF(B57&gt;=G7+24,Staffing!B6,1)+E57*D8*IF(B57&gt;=G8+24,Staffing!B6,1)+L57*D15*IF(B57&gt;=G15+24,Staffing!B6,1)+M57*D16*IF(B57&gt;=G16+24,Staffing!B6,1)+N57*D17*IF(B57&gt;=G17+24,Staffing!B6,1)+P57*D18*IF(B57&gt;=G18+24,Staffing!B6,1))/12</f>
        <v>209833.33333333334</v>
      </c>
      <c r="S57" s="52">
        <f t="shared" si="5"/>
        <v>24</v>
      </c>
    </row>
    <row r="58" spans="1:19" x14ac:dyDescent="0.25">
      <c r="A58" s="51">
        <v>37</v>
      </c>
      <c r="B58" s="52">
        <f t="shared" si="3"/>
        <v>36</v>
      </c>
      <c r="C58" s="52">
        <f>IF(B58&lt;G6,0,IF(MIN(H6,(E6+MAX(0,B58-G6)/12*F6))&gt;0,CEILING(MIN(H6,(E6+MAX(0,B58-G6)/12*F6)),1),0))</f>
        <v>3</v>
      </c>
      <c r="D58" s="52">
        <f>IF(B58&lt;G7,0,IF(MIN(H7,(E7+MAX(0,B58-G7)/12*F7))&gt;0,CEILING(MIN(H7,(E7+MAX(0,B58-G7)/12*F7)),1),0))</f>
        <v>4</v>
      </c>
      <c r="E58" s="52">
        <f>IF(B58&lt;G8,0,IF(MIN(H8,(E8+MAX(0,B58-G8)/12*F8))&gt;0,CEILING(MIN(H8,(E8+MAX(0,B58-G8)/12*F8)),1),0))</f>
        <v>1</v>
      </c>
      <c r="F58" s="52">
        <f>IF(B58&lt;G9,0,IF(MIN(H9,('Proforma (monthly)'!C42/E9))&gt;0,CEILING(MIN(H9,('Proforma (monthly)'!C42/E9)),1),0))</f>
        <v>1</v>
      </c>
      <c r="G58" s="52">
        <f>IF(B58&lt;G10,0,IF(MIN(H10,('Proforma (monthly)'!E42/E10))&gt;0,CEILING(MIN(H10,('Proforma (monthly)'!E42/E10)),1),0))</f>
        <v>1</v>
      </c>
      <c r="H58" s="52">
        <f>IF(B58&lt;G11,0,IF(MIN(H11,('Proforma (monthly)'!E42/E11))&gt;0,CEILING(MIN(H11,('Proforma (monthly)'!E42/E11)),1),0))</f>
        <v>2</v>
      </c>
      <c r="I58" s="52">
        <f>IF(B58&lt;G12,0,IF(MIN(H12,('Proforma (monthly)'!E42/E12))&gt;0,CEILING(MIN(H12,('Proforma (monthly)'!E42/E12)),1),0))</f>
        <v>1</v>
      </c>
      <c r="J58" s="52">
        <f>IF(B58&lt;G13,0,IF(MIN(H13,('Proforma (monthly)'!E42/E13)*CHOOSE(MIN(5,MAX(1,ROUNDUP((A58-'Growth &amp; timing'!B5)/12,0))),$L$3,$M$3,$N$3,$O$3,$P$3))&gt;0,CEILING(MIN(H13,('Proforma (monthly)'!E42/E13)*CHOOSE(MIN(5,MAX(1,ROUNDUP((A58-'Growth &amp; timing'!B5)/12,0))),$L$3,$M$3,$N$3,$O$3,$P$3)),1),0))</f>
        <v>4</v>
      </c>
      <c r="K58" s="52">
        <f>IF(B58&lt;G14,0,IF(MIN(H14,('Proforma (monthly)'!E42/E14))&gt;0,CEILING(MIN(H14,('Proforma (monthly)'!E42/E14)),1),0))</f>
        <v>1</v>
      </c>
      <c r="L58" s="52">
        <f>IF(B58&lt;G15,0,IF(MIN(H15,('Proforma (monthly)'!C42/E15))&gt;0,CEILING(MIN(H15,('Proforma (monthly)'!C42/E15)),1),0))</f>
        <v>1</v>
      </c>
      <c r="M58" s="52">
        <f>IF(B58&lt;G16,0,IF(MIN(H16,(L58/E16))&gt;0,CEILING(MIN(H16,(L58/E16)),1),0))</f>
        <v>1</v>
      </c>
      <c r="N58" s="52">
        <f>IF(B58&lt;G17,0,IF(MIN(H17,(E17+MAX(0,B58-G17)/12*F17))&gt;0,CEILING(MIN(H17,(E17+MAX(0,B58-G17)/12*F17)),1),0))</f>
        <v>3</v>
      </c>
      <c r="O58" s="52">
        <f t="shared" si="4"/>
        <v>23</v>
      </c>
      <c r="P58" s="52">
        <f>IF(B58&lt;G18,0,IF(MIN(H18,(O58/E18))&gt;0,CEILING(MIN(H18,(O58/E18)),1),0))</f>
        <v>1</v>
      </c>
      <c r="Q58" s="14">
        <f>(F58*D9*IF(B58&gt;=G9+24,Staffing!B6,1)+G58*D10*IF(B58&gt;=G10+24,Staffing!B6,1)+H58*D11*IF(B58&gt;=G11+24,Staffing!B6,1)+I58*D12*IF(B58&gt;=G12+24,Staffing!B6,1)+J58*D13*IF(B58&gt;=G13+24,Staffing!B6,1)+K58*D14*IF(B58&gt;=G14+24,Staffing!B6,1))/12</f>
        <v>62666.666666666664</v>
      </c>
      <c r="R58" s="14">
        <f>(C58*D6*IF(B58&gt;=G6+24,Staffing!B6,1)+D58*D7*IF(B58&gt;=G7+24,Staffing!B6,1)+E58*D8*IF(B58&gt;=G8+24,Staffing!B6,1)+L58*D15*IF(B58&gt;=G15+24,Staffing!B6,1)+M58*D16*IF(B58&gt;=G16+24,Staffing!B6,1)+N58*D17*IF(B58&gt;=G17+24,Staffing!B6,1)+P58*D18*IF(B58&gt;=G18+24,Staffing!B6,1))/12</f>
        <v>209833.33333333334</v>
      </c>
      <c r="S58" s="52">
        <f t="shared" si="5"/>
        <v>24</v>
      </c>
    </row>
    <row r="59" spans="1:19" x14ac:dyDescent="0.25">
      <c r="A59" s="51">
        <v>38</v>
      </c>
      <c r="B59" s="52">
        <f t="shared" si="3"/>
        <v>37</v>
      </c>
      <c r="C59" s="52">
        <f>IF(B59&lt;G6,0,IF(MIN(H6,(E6+MAX(0,B59-G6)/12*F6))&gt;0,CEILING(MIN(H6,(E6+MAX(0,B59-G6)/12*F6)),1),0))</f>
        <v>3</v>
      </c>
      <c r="D59" s="52">
        <f>IF(B59&lt;G7,0,IF(MIN(H7,(E7+MAX(0,B59-G7)/12*F7))&gt;0,CEILING(MIN(H7,(E7+MAX(0,B59-G7)/12*F7)),1),0))</f>
        <v>4</v>
      </c>
      <c r="E59" s="52">
        <f>IF(B59&lt;G8,0,IF(MIN(H8,(E8+MAX(0,B59-G8)/12*F8))&gt;0,CEILING(MIN(H8,(E8+MAX(0,B59-G8)/12*F8)),1),0))</f>
        <v>1</v>
      </c>
      <c r="F59" s="52">
        <f>IF(B59&lt;G9,0,IF(MIN(H9,('Proforma (monthly)'!C43/E9))&gt;0,CEILING(MIN(H9,('Proforma (monthly)'!C43/E9)),1),0))</f>
        <v>1</v>
      </c>
      <c r="G59" s="52">
        <f>IF(B59&lt;G10,0,IF(MIN(H10,('Proforma (monthly)'!E43/E10))&gt;0,CEILING(MIN(H10,('Proforma (monthly)'!E43/E10)),1),0))</f>
        <v>1</v>
      </c>
      <c r="H59" s="52">
        <f>IF(B59&lt;G11,0,IF(MIN(H11,('Proforma (monthly)'!E43/E11))&gt;0,CEILING(MIN(H11,('Proforma (monthly)'!E43/E11)),1),0))</f>
        <v>2</v>
      </c>
      <c r="I59" s="52">
        <f>IF(B59&lt;G12,0,IF(MIN(H12,('Proforma (monthly)'!E43/E12))&gt;0,CEILING(MIN(H12,('Proforma (monthly)'!E43/E12)),1),0))</f>
        <v>1</v>
      </c>
      <c r="J59" s="52">
        <f>IF(B59&lt;G13,0,IF(MIN(H13,('Proforma (monthly)'!E43/E13)*CHOOSE(MIN(5,MAX(1,ROUNDUP((A59-'Growth &amp; timing'!B5)/12,0))),$L$3,$M$3,$N$3,$O$3,$P$3))&gt;0,CEILING(MIN(H13,('Proforma (monthly)'!E43/E13)*CHOOSE(MIN(5,MAX(1,ROUNDUP((A59-'Growth &amp; timing'!B5)/12,0))),$L$3,$M$3,$N$3,$O$3,$P$3)),1),0))</f>
        <v>4</v>
      </c>
      <c r="K59" s="52">
        <f>IF(B59&lt;G14,0,IF(MIN(H14,('Proforma (monthly)'!E43/E14))&gt;0,CEILING(MIN(H14,('Proforma (monthly)'!E43/E14)),1),0))</f>
        <v>1</v>
      </c>
      <c r="L59" s="52">
        <f>IF(B59&lt;G15,0,IF(MIN(H15,('Proforma (monthly)'!C43/E15))&gt;0,CEILING(MIN(H15,('Proforma (monthly)'!C43/E15)),1),0))</f>
        <v>1</v>
      </c>
      <c r="M59" s="52">
        <f>IF(B59&lt;G16,0,IF(MIN(H16,(L59/E16))&gt;0,CEILING(MIN(H16,(L59/E16)),1),0))</f>
        <v>1</v>
      </c>
      <c r="N59" s="52">
        <f>IF(B59&lt;G17,0,IF(MIN(H17,(E17+MAX(0,B59-G17)/12*F17))&gt;0,CEILING(MIN(H17,(E17+MAX(0,B59-G17)/12*F17)),1),0))</f>
        <v>3</v>
      </c>
      <c r="O59" s="52">
        <f t="shared" si="4"/>
        <v>23</v>
      </c>
      <c r="P59" s="52">
        <f>IF(B59&lt;G18,0,IF(MIN(H18,(O59/E18))&gt;0,CEILING(MIN(H18,(O59/E18)),1),0))</f>
        <v>1</v>
      </c>
      <c r="Q59" s="14">
        <f>(F59*D9*IF(B59&gt;=G9+24,Staffing!B6,1)+G59*D10*IF(B59&gt;=G10+24,Staffing!B6,1)+H59*D11*IF(B59&gt;=G11+24,Staffing!B6,1)+I59*D12*IF(B59&gt;=G12+24,Staffing!B6,1)+J59*D13*IF(B59&gt;=G13+24,Staffing!B6,1)+K59*D14*IF(B59&gt;=G14+24,Staffing!B6,1))/12</f>
        <v>62666.666666666664</v>
      </c>
      <c r="R59" s="14">
        <f>(C59*D6*IF(B59&gt;=G6+24,Staffing!B6,1)+D59*D7*IF(B59&gt;=G7+24,Staffing!B6,1)+E59*D8*IF(B59&gt;=G8+24,Staffing!B6,1)+L59*D15*IF(B59&gt;=G15+24,Staffing!B6,1)+M59*D16*IF(B59&gt;=G16+24,Staffing!B6,1)+N59*D17*IF(B59&gt;=G17+24,Staffing!B6,1)+P59*D18*IF(B59&gt;=G18+24,Staffing!B6,1))/12</f>
        <v>209833.33333333334</v>
      </c>
      <c r="S59" s="52">
        <f t="shared" si="5"/>
        <v>24</v>
      </c>
    </row>
    <row r="60" spans="1:19" x14ac:dyDescent="0.25">
      <c r="A60" s="51">
        <v>39</v>
      </c>
      <c r="B60" s="52">
        <f t="shared" si="3"/>
        <v>38</v>
      </c>
      <c r="C60" s="52">
        <f>IF(B60&lt;G6,0,IF(MIN(H6,(E6+MAX(0,B60-G6)/12*F6))&gt;0,CEILING(MIN(H6,(E6+MAX(0,B60-G6)/12*F6)),1),0))</f>
        <v>3</v>
      </c>
      <c r="D60" s="52">
        <f>IF(B60&lt;G7,0,IF(MIN(H7,(E7+MAX(0,B60-G7)/12*F7))&gt;0,CEILING(MIN(H7,(E7+MAX(0,B60-G7)/12*F7)),1),0))</f>
        <v>4</v>
      </c>
      <c r="E60" s="52">
        <f>IF(B60&lt;G8,0,IF(MIN(H8,(E8+MAX(0,B60-G8)/12*F8))&gt;0,CEILING(MIN(H8,(E8+MAX(0,B60-G8)/12*F8)),1),0))</f>
        <v>1</v>
      </c>
      <c r="F60" s="52">
        <f>IF(B60&lt;G9,0,IF(MIN(H9,('Proforma (monthly)'!C44/E9))&gt;0,CEILING(MIN(H9,('Proforma (monthly)'!C44/E9)),1),0))</f>
        <v>1</v>
      </c>
      <c r="G60" s="52">
        <f>IF(B60&lt;G10,0,IF(MIN(H10,('Proforma (monthly)'!E44/E10))&gt;0,CEILING(MIN(H10,('Proforma (monthly)'!E44/E10)),1),0))</f>
        <v>1</v>
      </c>
      <c r="H60" s="52">
        <f>IF(B60&lt;G11,0,IF(MIN(H11,('Proforma (monthly)'!E44/E11))&gt;0,CEILING(MIN(H11,('Proforma (monthly)'!E44/E11)),1),0))</f>
        <v>2</v>
      </c>
      <c r="I60" s="52">
        <f>IF(B60&lt;G12,0,IF(MIN(H12,('Proforma (monthly)'!E44/E12))&gt;0,CEILING(MIN(H12,('Proforma (monthly)'!E44/E12)),1),0))</f>
        <v>1</v>
      </c>
      <c r="J60" s="52">
        <f>IF(B60&lt;G13,0,IF(MIN(H13,('Proforma (monthly)'!E44/E13)*CHOOSE(MIN(5,MAX(1,ROUNDUP((A60-'Growth &amp; timing'!B5)/12,0))),$L$3,$M$3,$N$3,$O$3,$P$3))&gt;0,CEILING(MIN(H13,('Proforma (monthly)'!E44/E13)*CHOOSE(MIN(5,MAX(1,ROUNDUP((A60-'Growth &amp; timing'!B5)/12,0))),$L$3,$M$3,$N$3,$O$3,$P$3)),1),0))</f>
        <v>5</v>
      </c>
      <c r="K60" s="52">
        <f>IF(B60&lt;G14,0,IF(MIN(H14,('Proforma (monthly)'!E44/E14))&gt;0,CEILING(MIN(H14,('Proforma (monthly)'!E44/E14)),1),0))</f>
        <v>1</v>
      </c>
      <c r="L60" s="52">
        <f>IF(B60&lt;G15,0,IF(MIN(H15,('Proforma (monthly)'!C44/E15))&gt;0,CEILING(MIN(H15,('Proforma (monthly)'!C44/E15)),1),0))</f>
        <v>1</v>
      </c>
      <c r="M60" s="52">
        <f>IF(B60&lt;G16,0,IF(MIN(H16,(L60/E16))&gt;0,CEILING(MIN(H16,(L60/E16)),1),0))</f>
        <v>1</v>
      </c>
      <c r="N60" s="52">
        <f>IF(B60&lt;G17,0,IF(MIN(H17,(E17+MAX(0,B60-G17)/12*F17))&gt;0,CEILING(MIN(H17,(E17+MAX(0,B60-G17)/12*F17)),1),0))</f>
        <v>3</v>
      </c>
      <c r="O60" s="52">
        <f t="shared" si="4"/>
        <v>24</v>
      </c>
      <c r="P60" s="52">
        <f>IF(B60&lt;G18,0,IF(MIN(H18,(O60/E18))&gt;0,CEILING(MIN(H18,(O60/E18)),1),0))</f>
        <v>1</v>
      </c>
      <c r="Q60" s="14">
        <f>(F60*D9*IF(B60&gt;=G9+24,Staffing!B6,1)+G60*D10*IF(B60&gt;=G10+24,Staffing!B6,1)+H60*D11*IF(B60&gt;=G11+24,Staffing!B6,1)+I60*D12*IF(B60&gt;=G12+24,Staffing!B6,1)+J60*D13*IF(B60&gt;=G13+24,Staffing!B6,1)+K60*D14*IF(B60&gt;=G14+24,Staffing!B6,1))/12</f>
        <v>68333.333333333328</v>
      </c>
      <c r="R60" s="14">
        <f>(C60*D6*IF(B60&gt;=G6+24,Staffing!B6,1)+D60*D7*IF(B60&gt;=G7+24,Staffing!B6,1)+E60*D8*IF(B60&gt;=G8+24,Staffing!B6,1)+L60*D15*IF(B60&gt;=G15+24,Staffing!B6,1)+M60*D16*IF(B60&gt;=G16+24,Staffing!B6,1)+N60*D17*IF(B60&gt;=G17+24,Staffing!B6,1)+P60*D18*IF(B60&gt;=G18+24,Staffing!B6,1))/12</f>
        <v>209833.33333333334</v>
      </c>
      <c r="S60" s="52">
        <f t="shared" si="5"/>
        <v>25</v>
      </c>
    </row>
    <row r="61" spans="1:19" x14ac:dyDescent="0.25">
      <c r="A61" s="51">
        <v>40</v>
      </c>
      <c r="B61" s="52">
        <f t="shared" si="3"/>
        <v>39</v>
      </c>
      <c r="C61" s="52">
        <f>IF(B61&lt;G6,0,IF(MIN(H6,(E6+MAX(0,B61-G6)/12*F6))&gt;0,CEILING(MIN(H6,(E6+MAX(0,B61-G6)/12*F6)),1),0))</f>
        <v>3</v>
      </c>
      <c r="D61" s="52">
        <f>IF(B61&lt;G7,0,IF(MIN(H7,(E7+MAX(0,B61-G7)/12*F7))&gt;0,CEILING(MIN(H7,(E7+MAX(0,B61-G7)/12*F7)),1),0))</f>
        <v>4</v>
      </c>
      <c r="E61" s="52">
        <f>IF(B61&lt;G8,0,IF(MIN(H8,(E8+MAX(0,B61-G8)/12*F8))&gt;0,CEILING(MIN(H8,(E8+MAX(0,B61-G8)/12*F8)),1),0))</f>
        <v>1</v>
      </c>
      <c r="F61" s="52">
        <f>IF(B61&lt;G9,0,IF(MIN(H9,('Proforma (monthly)'!C45/E9))&gt;0,CEILING(MIN(H9,('Proforma (monthly)'!C45/E9)),1),0))</f>
        <v>1</v>
      </c>
      <c r="G61" s="52">
        <f>IF(B61&lt;G10,0,IF(MIN(H10,('Proforma (monthly)'!E45/E10))&gt;0,CEILING(MIN(H10,('Proforma (monthly)'!E45/E10)),1),0))</f>
        <v>1</v>
      </c>
      <c r="H61" s="52">
        <f>IF(B61&lt;G11,0,IF(MIN(H11,('Proforma (monthly)'!E45/E11))&gt;0,CEILING(MIN(H11,('Proforma (monthly)'!E45/E11)),1),0))</f>
        <v>2</v>
      </c>
      <c r="I61" s="52">
        <f>IF(B61&lt;G12,0,IF(MIN(H12,('Proforma (monthly)'!E45/E12))&gt;0,CEILING(MIN(H12,('Proforma (monthly)'!E45/E12)),1),0))</f>
        <v>1</v>
      </c>
      <c r="J61" s="52">
        <f>IF(B61&lt;G13,0,IF(MIN(H13,('Proforma (monthly)'!E45/E13)*CHOOSE(MIN(5,MAX(1,ROUNDUP((A61-'Growth &amp; timing'!B5)/12,0))),$L$3,$M$3,$N$3,$O$3,$P$3))&gt;0,CEILING(MIN(H13,('Proforma (monthly)'!E45/E13)*CHOOSE(MIN(5,MAX(1,ROUNDUP((A61-'Growth &amp; timing'!B5)/12,0))),$L$3,$M$3,$N$3,$O$3,$P$3)),1),0))</f>
        <v>5</v>
      </c>
      <c r="K61" s="52">
        <f>IF(B61&lt;G14,0,IF(MIN(H14,('Proforma (monthly)'!E45/E14))&gt;0,CEILING(MIN(H14,('Proforma (monthly)'!E45/E14)),1),0))</f>
        <v>1</v>
      </c>
      <c r="L61" s="52">
        <f>IF(B61&lt;G15,0,IF(MIN(H15,('Proforma (monthly)'!C45/E15))&gt;0,CEILING(MIN(H15,('Proforma (monthly)'!C45/E15)),1),0))</f>
        <v>1</v>
      </c>
      <c r="M61" s="52">
        <f>IF(B61&lt;G16,0,IF(MIN(H16,(L61/E16))&gt;0,CEILING(MIN(H16,(L61/E16)),1),0))</f>
        <v>1</v>
      </c>
      <c r="N61" s="52">
        <f>IF(B61&lt;G17,0,IF(MIN(H17,(E17+MAX(0,B61-G17)/12*F17))&gt;0,CEILING(MIN(H17,(E17+MAX(0,B61-G17)/12*F17)),1),0))</f>
        <v>3</v>
      </c>
      <c r="O61" s="52">
        <f t="shared" si="4"/>
        <v>24</v>
      </c>
      <c r="P61" s="52">
        <f>IF(B61&lt;G18,0,IF(MIN(H18,(O61/E18))&gt;0,CEILING(MIN(H18,(O61/E18)),1),0))</f>
        <v>1</v>
      </c>
      <c r="Q61" s="14">
        <f>(F61*D9*IF(B61&gt;=G9+24,Staffing!B6,1)+G61*D10*IF(B61&gt;=G10+24,Staffing!B6,1)+H61*D11*IF(B61&gt;=G11+24,Staffing!B6,1)+I61*D12*IF(B61&gt;=G12+24,Staffing!B6,1)+J61*D13*IF(B61&gt;=G13+24,Staffing!B6,1)+K61*D14*IF(B61&gt;=G14+24,Staffing!B6,1))/12</f>
        <v>68333.333333333328</v>
      </c>
      <c r="R61" s="14">
        <f>(C61*D6*IF(B61&gt;=G6+24,Staffing!B6,1)+D61*D7*IF(B61&gt;=G7+24,Staffing!B6,1)+E61*D8*IF(B61&gt;=G8+24,Staffing!B6,1)+L61*D15*IF(B61&gt;=G15+24,Staffing!B6,1)+M61*D16*IF(B61&gt;=G16+24,Staffing!B6,1)+N61*D17*IF(B61&gt;=G17+24,Staffing!B6,1)+P61*D18*IF(B61&gt;=G18+24,Staffing!B6,1))/12</f>
        <v>209833.33333333334</v>
      </c>
      <c r="S61" s="52">
        <f t="shared" si="5"/>
        <v>25</v>
      </c>
    </row>
    <row r="62" spans="1:19" x14ac:dyDescent="0.25">
      <c r="A62" s="51">
        <v>41</v>
      </c>
      <c r="B62" s="52">
        <f t="shared" si="3"/>
        <v>40</v>
      </c>
      <c r="C62" s="52">
        <f>IF(B62&lt;G6,0,IF(MIN(H6,(E6+MAX(0,B62-G6)/12*F6))&gt;0,CEILING(MIN(H6,(E6+MAX(0,B62-G6)/12*F6)),1),0))</f>
        <v>3</v>
      </c>
      <c r="D62" s="52">
        <f>IF(B62&lt;G7,0,IF(MIN(H7,(E7+MAX(0,B62-G7)/12*F7))&gt;0,CEILING(MIN(H7,(E7+MAX(0,B62-G7)/12*F7)),1),0))</f>
        <v>4</v>
      </c>
      <c r="E62" s="52">
        <f>IF(B62&lt;G8,0,IF(MIN(H8,(E8+MAX(0,B62-G8)/12*F8))&gt;0,CEILING(MIN(H8,(E8+MAX(0,B62-G8)/12*F8)),1),0))</f>
        <v>1</v>
      </c>
      <c r="F62" s="52">
        <f>IF(B62&lt;G9,0,IF(MIN(H9,('Proforma (monthly)'!C46/E9))&gt;0,CEILING(MIN(H9,('Proforma (monthly)'!C46/E9)),1),0))</f>
        <v>1</v>
      </c>
      <c r="G62" s="52">
        <f>IF(B62&lt;G10,0,IF(MIN(H10,('Proforma (monthly)'!E46/E10))&gt;0,CEILING(MIN(H10,('Proforma (monthly)'!E46/E10)),1),0))</f>
        <v>1</v>
      </c>
      <c r="H62" s="52">
        <f>IF(B62&lt;G11,0,IF(MIN(H11,('Proforma (monthly)'!E46/E11))&gt;0,CEILING(MIN(H11,('Proforma (monthly)'!E46/E11)),1),0))</f>
        <v>2</v>
      </c>
      <c r="I62" s="52">
        <f>IF(B62&lt;G12,0,IF(MIN(H12,('Proforma (monthly)'!E46/E12))&gt;0,CEILING(MIN(H12,('Proforma (monthly)'!E46/E12)),1),0))</f>
        <v>1</v>
      </c>
      <c r="J62" s="52">
        <f>IF(B62&lt;G13,0,IF(MIN(H13,('Proforma (monthly)'!E46/E13)*CHOOSE(MIN(5,MAX(1,ROUNDUP((A62-'Growth &amp; timing'!B5)/12,0))),$L$3,$M$3,$N$3,$O$3,$P$3))&gt;0,CEILING(MIN(H13,('Proforma (monthly)'!E46/E13)*CHOOSE(MIN(5,MAX(1,ROUNDUP((A62-'Growth &amp; timing'!B5)/12,0))),$L$3,$M$3,$N$3,$O$3,$P$3)),1),0))</f>
        <v>5</v>
      </c>
      <c r="K62" s="52">
        <f>IF(B62&lt;G14,0,IF(MIN(H14,('Proforma (monthly)'!E46/E14))&gt;0,CEILING(MIN(H14,('Proforma (monthly)'!E46/E14)),1),0))</f>
        <v>1</v>
      </c>
      <c r="L62" s="52">
        <f>IF(B62&lt;G15,0,IF(MIN(H15,('Proforma (monthly)'!C46/E15))&gt;0,CEILING(MIN(H15,('Proforma (monthly)'!C46/E15)),1),0))</f>
        <v>1</v>
      </c>
      <c r="M62" s="52">
        <f>IF(B62&lt;G16,0,IF(MIN(H16,(L62/E16))&gt;0,CEILING(MIN(H16,(L62/E16)),1),0))</f>
        <v>1</v>
      </c>
      <c r="N62" s="52">
        <f>IF(B62&lt;G17,0,IF(MIN(H17,(E17+MAX(0,B62-G17)/12*F17))&gt;0,CEILING(MIN(H17,(E17+MAX(0,B62-G17)/12*F17)),1),0))</f>
        <v>3</v>
      </c>
      <c r="O62" s="52">
        <f t="shared" si="4"/>
        <v>24</v>
      </c>
      <c r="P62" s="52">
        <f>IF(B62&lt;G18,0,IF(MIN(H18,(O62/E18))&gt;0,CEILING(MIN(H18,(O62/E18)),1),0))</f>
        <v>1</v>
      </c>
      <c r="Q62" s="14">
        <f>(F62*D9*IF(B62&gt;=G9+24,Staffing!B6,1)+G62*D10*IF(B62&gt;=G10+24,Staffing!B6,1)+H62*D11*IF(B62&gt;=G11+24,Staffing!B6,1)+I62*D12*IF(B62&gt;=G12+24,Staffing!B6,1)+J62*D13*IF(B62&gt;=G13+24,Staffing!B6,1)+K62*D14*IF(B62&gt;=G14+24,Staffing!B6,1))/12</f>
        <v>69833.333333333328</v>
      </c>
      <c r="R62" s="14">
        <f>(C62*D6*IF(B62&gt;=G6+24,Staffing!B6,1)+D62*D7*IF(B62&gt;=G7+24,Staffing!B6,1)+E62*D8*IF(B62&gt;=G8+24,Staffing!B6,1)+L62*D15*IF(B62&gt;=G15+24,Staffing!B6,1)+M62*D16*IF(B62&gt;=G16+24,Staffing!B6,1)+N62*D17*IF(B62&gt;=G17+24,Staffing!B6,1)+P62*D18*IF(B62&gt;=G18+24,Staffing!B6,1))/12</f>
        <v>209833.33333333334</v>
      </c>
      <c r="S62" s="52">
        <f t="shared" si="5"/>
        <v>25</v>
      </c>
    </row>
    <row r="63" spans="1:19" x14ac:dyDescent="0.25">
      <c r="A63" s="51">
        <v>42</v>
      </c>
      <c r="B63" s="52">
        <f t="shared" si="3"/>
        <v>41</v>
      </c>
      <c r="C63" s="52">
        <f>IF(B63&lt;G6,0,IF(MIN(H6,(E6+MAX(0,B63-G6)/12*F6))&gt;0,CEILING(MIN(H6,(E6+MAX(0,B63-G6)/12*F6)),1),0))</f>
        <v>3</v>
      </c>
      <c r="D63" s="52">
        <f>IF(B63&lt;G7,0,IF(MIN(H7,(E7+MAX(0,B63-G7)/12*F7))&gt;0,CEILING(MIN(H7,(E7+MAX(0,B63-G7)/12*F7)),1),0))</f>
        <v>4</v>
      </c>
      <c r="E63" s="52">
        <f>IF(B63&lt;G8,0,IF(MIN(H8,(E8+MAX(0,B63-G8)/12*F8))&gt;0,CEILING(MIN(H8,(E8+MAX(0,B63-G8)/12*F8)),1),0))</f>
        <v>2</v>
      </c>
      <c r="F63" s="52">
        <f>IF(B63&lt;G9,0,IF(MIN(H9,('Proforma (monthly)'!C47/E9))&gt;0,CEILING(MIN(H9,('Proforma (monthly)'!C47/E9)),1),0))</f>
        <v>1</v>
      </c>
      <c r="G63" s="52">
        <f>IF(B63&lt;G10,0,IF(MIN(H10,('Proforma (monthly)'!E47/E10))&gt;0,CEILING(MIN(H10,('Proforma (monthly)'!E47/E10)),1),0))</f>
        <v>1</v>
      </c>
      <c r="H63" s="52">
        <f>IF(B63&lt;G11,0,IF(MIN(H11,('Proforma (monthly)'!E47/E11))&gt;0,CEILING(MIN(H11,('Proforma (monthly)'!E47/E11)),1),0))</f>
        <v>2</v>
      </c>
      <c r="I63" s="52">
        <f>IF(B63&lt;G12,0,IF(MIN(H12,('Proforma (monthly)'!E47/E12))&gt;0,CEILING(MIN(H12,('Proforma (monthly)'!E47/E12)),1),0))</f>
        <v>1</v>
      </c>
      <c r="J63" s="52">
        <f>IF(B63&lt;G13,0,IF(MIN(H13,('Proforma (monthly)'!E47/E13)*CHOOSE(MIN(5,MAX(1,ROUNDUP((A63-'Growth &amp; timing'!B5)/12,0))),$L$3,$M$3,$N$3,$O$3,$P$3))&gt;0,CEILING(MIN(H13,('Proforma (monthly)'!E47/E13)*CHOOSE(MIN(5,MAX(1,ROUNDUP((A63-'Growth &amp; timing'!B5)/12,0))),$L$3,$M$3,$N$3,$O$3,$P$3)),1),0))</f>
        <v>6</v>
      </c>
      <c r="K63" s="52">
        <f>IF(B63&lt;G14,0,IF(MIN(H14,('Proforma (monthly)'!E47/E14))&gt;0,CEILING(MIN(H14,('Proforma (monthly)'!E47/E14)),1),0))</f>
        <v>1</v>
      </c>
      <c r="L63" s="52">
        <f>IF(B63&lt;G15,0,IF(MIN(H15,('Proforma (monthly)'!C47/E15))&gt;0,CEILING(MIN(H15,('Proforma (monthly)'!C47/E15)),1),0))</f>
        <v>1</v>
      </c>
      <c r="M63" s="52">
        <f>IF(B63&lt;G16,0,IF(MIN(H16,(L63/E16))&gt;0,CEILING(MIN(H16,(L63/E16)),1),0))</f>
        <v>1</v>
      </c>
      <c r="N63" s="52">
        <f>IF(B63&lt;G17,0,IF(MIN(H17,(E17+MAX(0,B63-G17)/12*F17))&gt;0,CEILING(MIN(H17,(E17+MAX(0,B63-G17)/12*F17)),1),0))</f>
        <v>3</v>
      </c>
      <c r="O63" s="52">
        <f t="shared" si="4"/>
        <v>26</v>
      </c>
      <c r="P63" s="52">
        <f>IF(B63&lt;G18,0,IF(MIN(H18,(O63/E18))&gt;0,CEILING(MIN(H18,(O63/E18)),1),0))</f>
        <v>1</v>
      </c>
      <c r="Q63" s="14">
        <f>(F63*D9*IF(B63&gt;=G9+24,Staffing!B6,1)+G63*D10*IF(B63&gt;=G10+24,Staffing!B6,1)+H63*D11*IF(B63&gt;=G11+24,Staffing!B6,1)+I63*D12*IF(B63&gt;=G12+24,Staffing!B6,1)+J63*D13*IF(B63&gt;=G13+24,Staffing!B6,1)+K63*D14*IF(B63&gt;=G14+24,Staffing!B6,1))/12</f>
        <v>75500</v>
      </c>
      <c r="R63" s="14">
        <f>(C63*D6*IF(B63&gt;=G6+24,Staffing!B6,1)+D63*D7*IF(B63&gt;=G7+24,Staffing!B6,1)+E63*D8*IF(B63&gt;=G8+24,Staffing!B6,1)+L63*D15*IF(B63&gt;=G15+24,Staffing!B6,1)+M63*D16*IF(B63&gt;=G16+24,Staffing!B6,1)+N63*D17*IF(B63&gt;=G17+24,Staffing!B6,1)+P63*D18*IF(B63&gt;=G18+24,Staffing!B6,1))/12</f>
        <v>219000</v>
      </c>
      <c r="S63" s="52">
        <f t="shared" si="5"/>
        <v>27</v>
      </c>
    </row>
    <row r="64" spans="1:19" x14ac:dyDescent="0.25">
      <c r="A64" s="51">
        <v>43</v>
      </c>
      <c r="B64" s="52">
        <f t="shared" si="3"/>
        <v>42</v>
      </c>
      <c r="C64" s="52">
        <f>IF(B64&lt;G6,0,IF(MIN(H6,(E6+MAX(0,B64-G6)/12*F6))&gt;0,CEILING(MIN(H6,(E6+MAX(0,B64-G6)/12*F6)),1),0))</f>
        <v>3</v>
      </c>
      <c r="D64" s="52">
        <f>IF(B64&lt;G7,0,IF(MIN(H7,(E7+MAX(0,B64-G7)/12*F7))&gt;0,CEILING(MIN(H7,(E7+MAX(0,B64-G7)/12*F7)),1),0))</f>
        <v>4</v>
      </c>
      <c r="E64" s="52">
        <f>IF(B64&lt;G8,0,IF(MIN(H8,(E8+MAX(0,B64-G8)/12*F8))&gt;0,CEILING(MIN(H8,(E8+MAX(0,B64-G8)/12*F8)),1),0))</f>
        <v>2</v>
      </c>
      <c r="F64" s="52">
        <f>IF(B64&lt;G9,0,IF(MIN(H9,('Proforma (monthly)'!C48/E9))&gt;0,CEILING(MIN(H9,('Proforma (monthly)'!C48/E9)),1),0))</f>
        <v>1</v>
      </c>
      <c r="G64" s="52">
        <f>IF(B64&lt;G10,0,IF(MIN(H10,('Proforma (monthly)'!E48/E10))&gt;0,CEILING(MIN(H10,('Proforma (monthly)'!E48/E10)),1),0))</f>
        <v>1</v>
      </c>
      <c r="H64" s="52">
        <f>IF(B64&lt;G11,0,IF(MIN(H11,('Proforma (monthly)'!E48/E11))&gt;0,CEILING(MIN(H11,('Proforma (monthly)'!E48/E11)),1),0))</f>
        <v>2</v>
      </c>
      <c r="I64" s="52">
        <f>IF(B64&lt;G12,0,IF(MIN(H12,('Proforma (monthly)'!E48/E12))&gt;0,CEILING(MIN(H12,('Proforma (monthly)'!E48/E12)),1),0))</f>
        <v>1</v>
      </c>
      <c r="J64" s="52">
        <f>IF(B64&lt;G13,0,IF(MIN(H13,('Proforma (monthly)'!E48/E13)*CHOOSE(MIN(5,MAX(1,ROUNDUP((A64-'Growth &amp; timing'!B5)/12,0))),$L$3,$M$3,$N$3,$O$3,$P$3))&gt;0,CEILING(MIN(H13,('Proforma (monthly)'!E48/E13)*CHOOSE(MIN(5,MAX(1,ROUNDUP((A64-'Growth &amp; timing'!B5)/12,0))),$L$3,$M$3,$N$3,$O$3,$P$3)),1),0))</f>
        <v>6</v>
      </c>
      <c r="K64" s="52">
        <f>IF(B64&lt;G14,0,IF(MIN(H14,('Proforma (monthly)'!E48/E14))&gt;0,CEILING(MIN(H14,('Proforma (monthly)'!E48/E14)),1),0))</f>
        <v>1</v>
      </c>
      <c r="L64" s="52">
        <f>IF(B64&lt;G15,0,IF(MIN(H15,('Proforma (monthly)'!C48/E15))&gt;0,CEILING(MIN(H15,('Proforma (monthly)'!C48/E15)),1),0))</f>
        <v>1</v>
      </c>
      <c r="M64" s="52">
        <f>IF(B64&lt;G16,0,IF(MIN(H16,(L64/E16))&gt;0,CEILING(MIN(H16,(L64/E16)),1),0))</f>
        <v>1</v>
      </c>
      <c r="N64" s="52">
        <f>IF(B64&lt;G17,0,IF(MIN(H17,(E17+MAX(0,B64-G17)/12*F17))&gt;0,CEILING(MIN(H17,(E17+MAX(0,B64-G17)/12*F17)),1),0))</f>
        <v>3</v>
      </c>
      <c r="O64" s="52">
        <f t="shared" si="4"/>
        <v>26</v>
      </c>
      <c r="P64" s="52">
        <f>IF(B64&lt;G18,0,IF(MIN(H18,(O64/E18))&gt;0,CEILING(MIN(H18,(O64/E18)),1),0))</f>
        <v>1</v>
      </c>
      <c r="Q64" s="14">
        <f>(F64*D9*IF(B64&gt;=G9+24,Staffing!B6,1)+G64*D10*IF(B64&gt;=G10+24,Staffing!B6,1)+H64*D11*IF(B64&gt;=G11+24,Staffing!B6,1)+I64*D12*IF(B64&gt;=G12+24,Staffing!B6,1)+J64*D13*IF(B64&gt;=G13+24,Staffing!B6,1)+K64*D14*IF(B64&gt;=G14+24,Staffing!B6,1))/12</f>
        <v>75500</v>
      </c>
      <c r="R64" s="14">
        <f>(C64*D6*IF(B64&gt;=G6+24,Staffing!B6,1)+D64*D7*IF(B64&gt;=G7+24,Staffing!B6,1)+E64*D8*IF(B64&gt;=G8+24,Staffing!B6,1)+L64*D15*IF(B64&gt;=G15+24,Staffing!B6,1)+M64*D16*IF(B64&gt;=G16+24,Staffing!B6,1)+N64*D17*IF(B64&gt;=G17+24,Staffing!B6,1)+P64*D18*IF(B64&gt;=G18+24,Staffing!B6,1))/12</f>
        <v>220833.33333333334</v>
      </c>
      <c r="S64" s="52">
        <f t="shared" si="5"/>
        <v>27</v>
      </c>
    </row>
    <row r="65" spans="1:19" x14ac:dyDescent="0.25">
      <c r="A65" s="51">
        <v>44</v>
      </c>
      <c r="B65" s="52">
        <f t="shared" si="3"/>
        <v>43</v>
      </c>
      <c r="C65" s="52">
        <f>IF(B65&lt;G6,0,IF(MIN(H6,(E6+MAX(0,B65-G6)/12*F6))&gt;0,CEILING(MIN(H6,(E6+MAX(0,B65-G6)/12*F6)),1),0))</f>
        <v>3</v>
      </c>
      <c r="D65" s="52">
        <f>IF(B65&lt;G7,0,IF(MIN(H7,(E7+MAX(0,B65-G7)/12*F7))&gt;0,CEILING(MIN(H7,(E7+MAX(0,B65-G7)/12*F7)),1),0))</f>
        <v>4</v>
      </c>
      <c r="E65" s="52">
        <f>IF(B65&lt;G8,0,IF(MIN(H8,(E8+MAX(0,B65-G8)/12*F8))&gt;0,CEILING(MIN(H8,(E8+MAX(0,B65-G8)/12*F8)),1),0))</f>
        <v>2</v>
      </c>
      <c r="F65" s="52">
        <f>IF(B65&lt;G9,0,IF(MIN(H9,('Proforma (monthly)'!C49/E9))&gt;0,CEILING(MIN(H9,('Proforma (monthly)'!C49/E9)),1),0))</f>
        <v>1</v>
      </c>
      <c r="G65" s="52">
        <f>IF(B65&lt;G10,0,IF(MIN(H10,('Proforma (monthly)'!E49/E10))&gt;0,CEILING(MIN(H10,('Proforma (monthly)'!E49/E10)),1),0))</f>
        <v>1</v>
      </c>
      <c r="H65" s="52">
        <f>IF(B65&lt;G11,0,IF(MIN(H11,('Proforma (monthly)'!E49/E11))&gt;0,CEILING(MIN(H11,('Proforma (monthly)'!E49/E11)),1),0))</f>
        <v>2</v>
      </c>
      <c r="I65" s="52">
        <f>IF(B65&lt;G12,0,IF(MIN(H12,('Proforma (monthly)'!E49/E12))&gt;0,CEILING(MIN(H12,('Proforma (monthly)'!E49/E12)),1),0))</f>
        <v>1</v>
      </c>
      <c r="J65" s="52">
        <f>IF(B65&lt;G13,0,IF(MIN(H13,('Proforma (monthly)'!E49/E13)*CHOOSE(MIN(5,MAX(1,ROUNDUP((A65-'Growth &amp; timing'!B5)/12,0))),$L$3,$M$3,$N$3,$O$3,$P$3))&gt;0,CEILING(MIN(H13,('Proforma (monthly)'!E49/E13)*CHOOSE(MIN(5,MAX(1,ROUNDUP((A65-'Growth &amp; timing'!B5)/12,0))),$L$3,$M$3,$N$3,$O$3,$P$3)),1),0))</f>
        <v>6</v>
      </c>
      <c r="K65" s="52">
        <f>IF(B65&lt;G14,0,IF(MIN(H14,('Proforma (monthly)'!E49/E14))&gt;0,CEILING(MIN(H14,('Proforma (monthly)'!E49/E14)),1),0))</f>
        <v>1</v>
      </c>
      <c r="L65" s="52">
        <f>IF(B65&lt;G15,0,IF(MIN(H15,('Proforma (monthly)'!C49/E15))&gt;0,CEILING(MIN(H15,('Proforma (monthly)'!C49/E15)),1),0))</f>
        <v>2</v>
      </c>
      <c r="M65" s="52">
        <f>IF(B65&lt;G16,0,IF(MIN(H16,(L65/E16))&gt;0,CEILING(MIN(H16,(L65/E16)),1),0))</f>
        <v>1</v>
      </c>
      <c r="N65" s="52">
        <f>IF(B65&lt;G17,0,IF(MIN(H17,(E17+MAX(0,B65-G17)/12*F17))&gt;0,CEILING(MIN(H17,(E17+MAX(0,B65-G17)/12*F17)),1),0))</f>
        <v>3</v>
      </c>
      <c r="O65" s="52">
        <f t="shared" si="4"/>
        <v>27</v>
      </c>
      <c r="P65" s="52">
        <f>IF(B65&lt;G18,0,IF(MIN(H18,(O65/E18))&gt;0,CEILING(MIN(H18,(O65/E18)),1),0))</f>
        <v>1</v>
      </c>
      <c r="Q65" s="14">
        <f>(F65*D9*IF(B65&gt;=G9+24,Staffing!B6,1)+G65*D10*IF(B65&gt;=G10+24,Staffing!B6,1)+H65*D11*IF(B65&gt;=G11+24,Staffing!B6,1)+I65*D12*IF(B65&gt;=G12+24,Staffing!B6,1)+J65*D13*IF(B65&gt;=G13+24,Staffing!B6,1)+K65*D14*IF(B65&gt;=G14+24,Staffing!B6,1))/12</f>
        <v>75500</v>
      </c>
      <c r="R65" s="14">
        <f>(C65*D6*IF(B65&gt;=G6+24,Staffing!B6,1)+D65*D7*IF(B65&gt;=G7+24,Staffing!B6,1)+E65*D8*IF(B65&gt;=G8+24,Staffing!B6,1)+L65*D15*IF(B65&gt;=G15+24,Staffing!B6,1)+M65*D16*IF(B65&gt;=G16+24,Staffing!B6,1)+N65*D17*IF(B65&gt;=G17+24,Staffing!B6,1)+P65*D18*IF(B65&gt;=G18+24,Staffing!B6,1))/12</f>
        <v>232500</v>
      </c>
      <c r="S65" s="52">
        <f t="shared" si="5"/>
        <v>28</v>
      </c>
    </row>
    <row r="66" spans="1:19" x14ac:dyDescent="0.25">
      <c r="A66" s="51">
        <v>45</v>
      </c>
      <c r="B66" s="52">
        <f t="shared" si="3"/>
        <v>44</v>
      </c>
      <c r="C66" s="52">
        <f>IF(B66&lt;G6,0,IF(MIN(H6,(E6+MAX(0,B66-G6)/12*F6))&gt;0,CEILING(MIN(H6,(E6+MAX(0,B66-G6)/12*F6)),1),0))</f>
        <v>3</v>
      </c>
      <c r="D66" s="52">
        <f>IF(B66&lt;G7,0,IF(MIN(H7,(E7+MAX(0,B66-G7)/12*F7))&gt;0,CEILING(MIN(H7,(E7+MAX(0,B66-G7)/12*F7)),1),0))</f>
        <v>4</v>
      </c>
      <c r="E66" s="52">
        <f>IF(B66&lt;G8,0,IF(MIN(H8,(E8+MAX(0,B66-G8)/12*F8))&gt;0,CEILING(MIN(H8,(E8+MAX(0,B66-G8)/12*F8)),1),0))</f>
        <v>2</v>
      </c>
      <c r="F66" s="52">
        <f>IF(B66&lt;G9,0,IF(MIN(H9,('Proforma (monthly)'!C50/E9))&gt;0,CEILING(MIN(H9,('Proforma (monthly)'!C50/E9)),1),0))</f>
        <v>1</v>
      </c>
      <c r="G66" s="52">
        <f>IF(B66&lt;G10,0,IF(MIN(H10,('Proforma (monthly)'!E50/E10))&gt;0,CEILING(MIN(H10,('Proforma (monthly)'!E50/E10)),1),0))</f>
        <v>1</v>
      </c>
      <c r="H66" s="52">
        <f>IF(B66&lt;G11,0,IF(MIN(H11,('Proforma (monthly)'!E50/E11))&gt;0,CEILING(MIN(H11,('Proforma (monthly)'!E50/E11)),1),0))</f>
        <v>3</v>
      </c>
      <c r="I66" s="52">
        <f>IF(B66&lt;G12,0,IF(MIN(H12,('Proforma (monthly)'!E50/E12))&gt;0,CEILING(MIN(H12,('Proforma (monthly)'!E50/E12)),1),0))</f>
        <v>1</v>
      </c>
      <c r="J66" s="52">
        <f>IF(B66&lt;G13,0,IF(MIN(H13,('Proforma (monthly)'!E50/E13)*CHOOSE(MIN(5,MAX(1,ROUNDUP((A66-'Growth &amp; timing'!B5)/12,0))),$L$3,$M$3,$N$3,$O$3,$P$3))&gt;0,CEILING(MIN(H13,('Proforma (monthly)'!E50/E13)*CHOOSE(MIN(5,MAX(1,ROUNDUP((A66-'Growth &amp; timing'!B5)/12,0))),$L$3,$M$3,$N$3,$O$3,$P$3)),1),0))</f>
        <v>7</v>
      </c>
      <c r="K66" s="52">
        <f>IF(B66&lt;G14,0,IF(MIN(H14,('Proforma (monthly)'!E50/E14))&gt;0,CEILING(MIN(H14,('Proforma (monthly)'!E50/E14)),1),0))</f>
        <v>1</v>
      </c>
      <c r="L66" s="52">
        <f>IF(B66&lt;G15,0,IF(MIN(H15,('Proforma (monthly)'!C50/E15))&gt;0,CEILING(MIN(H15,('Proforma (monthly)'!C50/E15)),1),0))</f>
        <v>2</v>
      </c>
      <c r="M66" s="52">
        <f>IF(B66&lt;G16,0,IF(MIN(H16,(L66/E16))&gt;0,CEILING(MIN(H16,(L66/E16)),1),0))</f>
        <v>1</v>
      </c>
      <c r="N66" s="52">
        <f>IF(B66&lt;G17,0,IF(MIN(H17,(E17+MAX(0,B66-G17)/12*F17))&gt;0,CEILING(MIN(H17,(E17+MAX(0,B66-G17)/12*F17)),1),0))</f>
        <v>3</v>
      </c>
      <c r="O66" s="52">
        <f t="shared" si="4"/>
        <v>29</v>
      </c>
      <c r="P66" s="52">
        <f>IF(B66&lt;G18,0,IF(MIN(H18,(O66/E18))&gt;0,CEILING(MIN(H18,(O66/E18)),1),0))</f>
        <v>1</v>
      </c>
      <c r="Q66" s="14">
        <f>(F66*D9*IF(B66&gt;=G9+24,Staffing!B6,1)+G66*D10*IF(B66&gt;=G10+24,Staffing!B6,1)+H66*D11*IF(B66&gt;=G11+24,Staffing!B6,1)+I66*D12*IF(B66&gt;=G12+24,Staffing!B6,1)+J66*D13*IF(B66&gt;=G13+24,Staffing!B6,1)+K66*D14*IF(B66&gt;=G14+24,Staffing!B6,1))/12</f>
        <v>86166.666666666672</v>
      </c>
      <c r="R66" s="14">
        <f>(C66*D6*IF(B66&gt;=G6+24,Staffing!B6,1)+D66*D7*IF(B66&gt;=G7+24,Staffing!B6,1)+E66*D8*IF(B66&gt;=G8+24,Staffing!B6,1)+L66*D15*IF(B66&gt;=G15+24,Staffing!B6,1)+M66*D16*IF(B66&gt;=G16+24,Staffing!B6,1)+N66*D17*IF(B66&gt;=G17+24,Staffing!B6,1)+P66*D18*IF(B66&gt;=G18+24,Staffing!B6,1))/12</f>
        <v>232500</v>
      </c>
      <c r="S66" s="52">
        <f t="shared" si="5"/>
        <v>30</v>
      </c>
    </row>
    <row r="67" spans="1:19" x14ac:dyDescent="0.25">
      <c r="A67" s="51">
        <v>46</v>
      </c>
      <c r="B67" s="52">
        <f t="shared" si="3"/>
        <v>45</v>
      </c>
      <c r="C67" s="52">
        <f>IF(B67&lt;G6,0,IF(MIN(H6,(E6+MAX(0,B67-G6)/12*F6))&gt;0,CEILING(MIN(H6,(E6+MAX(0,B67-G6)/12*F6)),1),0))</f>
        <v>3</v>
      </c>
      <c r="D67" s="52">
        <f>IF(B67&lt;G7,0,IF(MIN(H7,(E7+MAX(0,B67-G7)/12*F7))&gt;0,CEILING(MIN(H7,(E7+MAX(0,B67-G7)/12*F7)),1),0))</f>
        <v>4</v>
      </c>
      <c r="E67" s="52">
        <f>IF(B67&lt;G8,0,IF(MIN(H8,(E8+MAX(0,B67-G8)/12*F8))&gt;0,CEILING(MIN(H8,(E8+MAX(0,B67-G8)/12*F8)),1),0))</f>
        <v>2</v>
      </c>
      <c r="F67" s="52">
        <f>IF(B67&lt;G9,0,IF(MIN(H9,('Proforma (monthly)'!C51/E9))&gt;0,CEILING(MIN(H9,('Proforma (monthly)'!C51/E9)),1),0))</f>
        <v>1</v>
      </c>
      <c r="G67" s="52">
        <f>IF(B67&lt;G10,0,IF(MIN(H10,('Proforma (monthly)'!E51/E10))&gt;0,CEILING(MIN(H10,('Proforma (monthly)'!E51/E10)),1),0))</f>
        <v>1</v>
      </c>
      <c r="H67" s="52">
        <f>IF(B67&lt;G11,0,IF(MIN(H11,('Proforma (monthly)'!E51/E11))&gt;0,CEILING(MIN(H11,('Proforma (monthly)'!E51/E11)),1),0))</f>
        <v>3</v>
      </c>
      <c r="I67" s="52">
        <f>IF(B67&lt;G12,0,IF(MIN(H12,('Proforma (monthly)'!E51/E12))&gt;0,CEILING(MIN(H12,('Proforma (monthly)'!E51/E12)),1),0))</f>
        <v>1</v>
      </c>
      <c r="J67" s="52">
        <f>IF(B67&lt;G13,0,IF(MIN(H13,('Proforma (monthly)'!E51/E13)*CHOOSE(MIN(5,MAX(1,ROUNDUP((A67-'Growth &amp; timing'!B5)/12,0))),$L$3,$M$3,$N$3,$O$3,$P$3))&gt;0,CEILING(MIN(H13,('Proforma (monthly)'!E51/E13)*CHOOSE(MIN(5,MAX(1,ROUNDUP((A67-'Growth &amp; timing'!B5)/12,0))),$L$3,$M$3,$N$3,$O$3,$P$3)),1),0))</f>
        <v>7</v>
      </c>
      <c r="K67" s="52">
        <f>IF(B67&lt;G14,0,IF(MIN(H14,('Proforma (monthly)'!E51/E14))&gt;0,CEILING(MIN(H14,('Proforma (monthly)'!E51/E14)),1),0))</f>
        <v>1</v>
      </c>
      <c r="L67" s="52">
        <f>IF(B67&lt;G15,0,IF(MIN(H15,('Proforma (monthly)'!C51/E15))&gt;0,CEILING(MIN(H15,('Proforma (monthly)'!C51/E15)),1),0))</f>
        <v>2</v>
      </c>
      <c r="M67" s="52">
        <f>IF(B67&lt;G16,0,IF(MIN(H16,(L67/E16))&gt;0,CEILING(MIN(H16,(L67/E16)),1),0))</f>
        <v>1</v>
      </c>
      <c r="N67" s="52">
        <f>IF(B67&lt;G17,0,IF(MIN(H17,(E17+MAX(0,B67-G17)/12*F17))&gt;0,CEILING(MIN(H17,(E17+MAX(0,B67-G17)/12*F17)),1),0))</f>
        <v>3</v>
      </c>
      <c r="O67" s="52">
        <f t="shared" si="4"/>
        <v>29</v>
      </c>
      <c r="P67" s="52">
        <f>IF(B67&lt;G18,0,IF(MIN(H18,(O67/E18))&gt;0,CEILING(MIN(H18,(O67/E18)),1),0))</f>
        <v>1</v>
      </c>
      <c r="Q67" s="14">
        <f>(F67*D9*IF(B67&gt;=G9+24,Staffing!B6,1)+G67*D10*IF(B67&gt;=G10+24,Staffing!B6,1)+H67*D11*IF(B67&gt;=G11+24,Staffing!B6,1)+I67*D12*IF(B67&gt;=G12+24,Staffing!B6,1)+J67*D13*IF(B67&gt;=G13+24,Staffing!B6,1)+K67*D14*IF(B67&gt;=G14+24,Staffing!B6,1))/12</f>
        <v>86166.666666666672</v>
      </c>
      <c r="R67" s="14">
        <f>(C67*D6*IF(B67&gt;=G6+24,Staffing!B6,1)+D67*D7*IF(B67&gt;=G7+24,Staffing!B6,1)+E67*D8*IF(B67&gt;=G8+24,Staffing!B6,1)+L67*D15*IF(B67&gt;=G15+24,Staffing!B6,1)+M67*D16*IF(B67&gt;=G16+24,Staffing!B6,1)+N67*D17*IF(B67&gt;=G17+24,Staffing!B6,1)+P67*D18*IF(B67&gt;=G18+24,Staffing!B6,1))/12</f>
        <v>232500</v>
      </c>
      <c r="S67" s="52">
        <f t="shared" si="5"/>
        <v>30</v>
      </c>
    </row>
    <row r="68" spans="1:19" x14ac:dyDescent="0.25">
      <c r="A68" s="51">
        <v>47</v>
      </c>
      <c r="B68" s="52">
        <f t="shared" si="3"/>
        <v>46</v>
      </c>
      <c r="C68" s="52">
        <f>IF(B68&lt;G6,0,IF(MIN(H6,(E6+MAX(0,B68-G6)/12*F6))&gt;0,CEILING(MIN(H6,(E6+MAX(0,B68-G6)/12*F6)),1),0))</f>
        <v>3</v>
      </c>
      <c r="D68" s="52">
        <f>IF(B68&lt;G7,0,IF(MIN(H7,(E7+MAX(0,B68-G7)/12*F7))&gt;0,CEILING(MIN(H7,(E7+MAX(0,B68-G7)/12*F7)),1),0))</f>
        <v>4</v>
      </c>
      <c r="E68" s="52">
        <f>IF(B68&lt;G8,0,IF(MIN(H8,(E8+MAX(0,B68-G8)/12*F8))&gt;0,CEILING(MIN(H8,(E8+MAX(0,B68-G8)/12*F8)),1),0))</f>
        <v>2</v>
      </c>
      <c r="F68" s="52">
        <f>IF(B68&lt;G9,0,IF(MIN(H9,('Proforma (monthly)'!C52/E9))&gt;0,CEILING(MIN(H9,('Proforma (monthly)'!C52/E9)),1),0))</f>
        <v>1</v>
      </c>
      <c r="G68" s="52">
        <f>IF(B68&lt;G10,0,IF(MIN(H10,('Proforma (monthly)'!E52/E10))&gt;0,CEILING(MIN(H10,('Proforma (monthly)'!E52/E10)),1),0))</f>
        <v>1</v>
      </c>
      <c r="H68" s="52">
        <f>IF(B68&lt;G11,0,IF(MIN(H11,('Proforma (monthly)'!E52/E11))&gt;0,CEILING(MIN(H11,('Proforma (monthly)'!E52/E11)),1),0))</f>
        <v>3</v>
      </c>
      <c r="I68" s="52">
        <f>IF(B68&lt;G12,0,IF(MIN(H12,('Proforma (monthly)'!E52/E12))&gt;0,CEILING(MIN(H12,('Proforma (monthly)'!E52/E12)),1),0))</f>
        <v>1</v>
      </c>
      <c r="J68" s="52">
        <f>IF(B68&lt;G13,0,IF(MIN(H13,('Proforma (monthly)'!E52/E13)*CHOOSE(MIN(5,MAX(1,ROUNDUP((A68-'Growth &amp; timing'!B5)/12,0))),$L$3,$M$3,$N$3,$O$3,$P$3))&gt;0,CEILING(MIN(H13,('Proforma (monthly)'!E52/E13)*CHOOSE(MIN(5,MAX(1,ROUNDUP((A68-'Growth &amp; timing'!B5)/12,0))),$L$3,$M$3,$N$3,$O$3,$P$3)),1),0))</f>
        <v>8</v>
      </c>
      <c r="K68" s="52">
        <f>IF(B68&lt;G14,0,IF(MIN(H14,('Proforma (monthly)'!E52/E14))&gt;0,CEILING(MIN(H14,('Proforma (monthly)'!E52/E14)),1),0))</f>
        <v>1</v>
      </c>
      <c r="L68" s="52">
        <f>IF(B68&lt;G15,0,IF(MIN(H15,('Proforma (monthly)'!C52/E15))&gt;0,CEILING(MIN(H15,('Proforma (monthly)'!C52/E15)),1),0))</f>
        <v>2</v>
      </c>
      <c r="M68" s="52">
        <f>IF(B68&lt;G16,0,IF(MIN(H16,(L68/E16))&gt;0,CEILING(MIN(H16,(L68/E16)),1),0))</f>
        <v>1</v>
      </c>
      <c r="N68" s="52">
        <f>IF(B68&lt;G17,0,IF(MIN(H17,(E17+MAX(0,B68-G17)/12*F17))&gt;0,CEILING(MIN(H17,(E17+MAX(0,B68-G17)/12*F17)),1),0))</f>
        <v>3</v>
      </c>
      <c r="O68" s="52">
        <f t="shared" si="4"/>
        <v>30</v>
      </c>
      <c r="P68" s="52">
        <f>IF(B68&lt;G18,0,IF(MIN(H18,(O68/E18))&gt;0,CEILING(MIN(H18,(O68/E18)),1),0))</f>
        <v>1</v>
      </c>
      <c r="Q68" s="14">
        <f>(F68*D9*IF(B68&gt;=G9+24,Staffing!B6,1)+G68*D10*IF(B68&gt;=G10+24,Staffing!B6,1)+H68*D11*IF(B68&gt;=G11+24,Staffing!B6,1)+I68*D12*IF(B68&gt;=G12+24,Staffing!B6,1)+J68*D13*IF(B68&gt;=G13+24,Staffing!B6,1)+K68*D14*IF(B68&gt;=G14+24,Staffing!B6,1))/12</f>
        <v>91833.333333333328</v>
      </c>
      <c r="R68" s="14">
        <f>(C68*D6*IF(B68&gt;=G6+24,Staffing!B6,1)+D68*D7*IF(B68&gt;=G7+24,Staffing!B6,1)+E68*D8*IF(B68&gt;=G8+24,Staffing!B6,1)+L68*D15*IF(B68&gt;=G15+24,Staffing!B6,1)+M68*D16*IF(B68&gt;=G16+24,Staffing!B6,1)+N68*D17*IF(B68&gt;=G17+24,Staffing!B6,1)+P68*D18*IF(B68&gt;=G18+24,Staffing!B6,1))/12</f>
        <v>232500</v>
      </c>
      <c r="S68" s="52">
        <f t="shared" si="5"/>
        <v>31</v>
      </c>
    </row>
    <row r="69" spans="1:19" x14ac:dyDescent="0.25">
      <c r="A69" s="51">
        <v>48</v>
      </c>
      <c r="B69" s="52">
        <f t="shared" si="3"/>
        <v>47</v>
      </c>
      <c r="C69" s="52">
        <f>IF(B69&lt;G6,0,IF(MIN(H6,(E6+MAX(0,B69-G6)/12*F6))&gt;0,CEILING(MIN(H6,(E6+MAX(0,B69-G6)/12*F6)),1),0))</f>
        <v>3</v>
      </c>
      <c r="D69" s="52">
        <f>IF(B69&lt;G7,0,IF(MIN(H7,(E7+MAX(0,B69-G7)/12*F7))&gt;0,CEILING(MIN(H7,(E7+MAX(0,B69-G7)/12*F7)),1),0))</f>
        <v>4</v>
      </c>
      <c r="E69" s="52">
        <f>IF(B69&lt;G8,0,IF(MIN(H8,(E8+MAX(0,B69-G8)/12*F8))&gt;0,CEILING(MIN(H8,(E8+MAX(0,B69-G8)/12*F8)),1),0))</f>
        <v>2</v>
      </c>
      <c r="F69" s="52">
        <f>IF(B69&lt;G9,0,IF(MIN(H9,('Proforma (monthly)'!C53/E9))&gt;0,CEILING(MIN(H9,('Proforma (monthly)'!C53/E9)),1),0))</f>
        <v>1</v>
      </c>
      <c r="G69" s="52">
        <f>IF(B69&lt;G10,0,IF(MIN(H10,('Proforma (monthly)'!E53/E10))&gt;0,CEILING(MIN(H10,('Proforma (monthly)'!E53/E10)),1),0))</f>
        <v>2</v>
      </c>
      <c r="H69" s="52">
        <f>IF(B69&lt;G11,0,IF(MIN(H11,('Proforma (monthly)'!E53/E11))&gt;0,CEILING(MIN(H11,('Proforma (monthly)'!E53/E11)),1),0))</f>
        <v>3</v>
      </c>
      <c r="I69" s="52">
        <f>IF(B69&lt;G12,0,IF(MIN(H12,('Proforma (monthly)'!E53/E12))&gt;0,CEILING(MIN(H12,('Proforma (monthly)'!E53/E12)),1),0))</f>
        <v>1</v>
      </c>
      <c r="J69" s="52">
        <f>IF(B69&lt;G13,0,IF(MIN(H13,('Proforma (monthly)'!E53/E13)*CHOOSE(MIN(5,MAX(1,ROUNDUP((A69-'Growth &amp; timing'!B5)/12,0))),$L$3,$M$3,$N$3,$O$3,$P$3))&gt;0,CEILING(MIN(H13,('Proforma (monthly)'!E53/E13)*CHOOSE(MIN(5,MAX(1,ROUNDUP((A69-'Growth &amp; timing'!B5)/12,0))),$L$3,$M$3,$N$3,$O$3,$P$3)),1),0))</f>
        <v>8</v>
      </c>
      <c r="K69" s="52">
        <f>IF(B69&lt;G14,0,IF(MIN(H14,('Proforma (monthly)'!E53/E14))&gt;0,CEILING(MIN(H14,('Proforma (monthly)'!E53/E14)),1),0))</f>
        <v>2</v>
      </c>
      <c r="L69" s="52">
        <f>IF(B69&lt;G15,0,IF(MIN(H15,('Proforma (monthly)'!C53/E15))&gt;0,CEILING(MIN(H15,('Proforma (monthly)'!C53/E15)),1),0))</f>
        <v>2</v>
      </c>
      <c r="M69" s="52">
        <f>IF(B69&lt;G16,0,IF(MIN(H16,(L69/E16))&gt;0,CEILING(MIN(H16,(L69/E16)),1),0))</f>
        <v>1</v>
      </c>
      <c r="N69" s="52">
        <f>IF(B69&lt;G17,0,IF(MIN(H17,(E17+MAX(0,B69-G17)/12*F17))&gt;0,CEILING(MIN(H17,(E17+MAX(0,B69-G17)/12*F17)),1),0))</f>
        <v>3</v>
      </c>
      <c r="O69" s="52">
        <f t="shared" si="4"/>
        <v>32</v>
      </c>
      <c r="P69" s="52">
        <f>IF(B69&lt;G18,0,IF(MIN(H18,(O69/E18))&gt;0,CEILING(MIN(H18,(O69/E18)),1),0))</f>
        <v>1</v>
      </c>
      <c r="Q69" s="14">
        <f>(F69*D9*IF(B69&gt;=G9+24,Staffing!B6,1)+G69*D10*IF(B69&gt;=G10+24,Staffing!B6,1)+H69*D11*IF(B69&gt;=G11+24,Staffing!B6,1)+I69*D12*IF(B69&gt;=G12+24,Staffing!B6,1)+J69*D13*IF(B69&gt;=G13+24,Staffing!B6,1)+K69*D14*IF(B69&gt;=G14+24,Staffing!B6,1))/12</f>
        <v>106416.66666666667</v>
      </c>
      <c r="R69" s="14">
        <f>(C69*D6*IF(B69&gt;=G6+24,Staffing!B6,1)+D69*D7*IF(B69&gt;=G7+24,Staffing!B6,1)+E69*D8*IF(B69&gt;=G8+24,Staffing!B6,1)+L69*D15*IF(B69&gt;=G15+24,Staffing!B6,1)+M69*D16*IF(B69&gt;=G16+24,Staffing!B6,1)+N69*D17*IF(B69&gt;=G17+24,Staffing!B6,1)+P69*D18*IF(B69&gt;=G18+24,Staffing!B6,1))/12</f>
        <v>232500</v>
      </c>
      <c r="S69" s="52">
        <f t="shared" si="5"/>
        <v>33</v>
      </c>
    </row>
    <row r="70" spans="1:19" x14ac:dyDescent="0.25">
      <c r="A70" s="51">
        <v>49</v>
      </c>
      <c r="B70" s="52">
        <f t="shared" si="3"/>
        <v>48</v>
      </c>
      <c r="C70" s="52">
        <f>IF(B70&lt;G6,0,IF(MIN(H6,(E6+MAX(0,B70-G6)/12*F6))&gt;0,CEILING(MIN(H6,(E6+MAX(0,B70-G6)/12*F6)),1),0))</f>
        <v>3</v>
      </c>
      <c r="D70" s="52">
        <f>IF(B70&lt;G7,0,IF(MIN(H7,(E7+MAX(0,B70-G7)/12*F7))&gt;0,CEILING(MIN(H7,(E7+MAX(0,B70-G7)/12*F7)),1),0))</f>
        <v>4</v>
      </c>
      <c r="E70" s="52">
        <f>IF(B70&lt;G8,0,IF(MIN(H8,(E8+MAX(0,B70-G8)/12*F8))&gt;0,CEILING(MIN(H8,(E8+MAX(0,B70-G8)/12*F8)),1),0))</f>
        <v>2</v>
      </c>
      <c r="F70" s="52">
        <f>IF(B70&lt;G9,0,IF(MIN(H9,('Proforma (monthly)'!C54/E9))&gt;0,CEILING(MIN(H9,('Proforma (monthly)'!C54/E9)),1),0))</f>
        <v>1</v>
      </c>
      <c r="G70" s="52">
        <f>IF(B70&lt;G10,0,IF(MIN(H10,('Proforma (monthly)'!E54/E10))&gt;0,CEILING(MIN(H10,('Proforma (monthly)'!E54/E10)),1),0))</f>
        <v>2</v>
      </c>
      <c r="H70" s="52">
        <f>IF(B70&lt;G11,0,IF(MIN(H11,('Proforma (monthly)'!E54/E11))&gt;0,CEILING(MIN(H11,('Proforma (monthly)'!E54/E11)),1),0))</f>
        <v>3</v>
      </c>
      <c r="I70" s="52">
        <f>IF(B70&lt;G12,0,IF(MIN(H12,('Proforma (monthly)'!E54/E12))&gt;0,CEILING(MIN(H12,('Proforma (monthly)'!E54/E12)),1),0))</f>
        <v>1</v>
      </c>
      <c r="J70" s="52">
        <f>IF(B70&lt;G13,0,IF(MIN(H13,('Proforma (monthly)'!E54/E13)*CHOOSE(MIN(5,MAX(1,ROUNDUP((A70-'Growth &amp; timing'!B5)/12,0))),$L$3,$M$3,$N$3,$O$3,$P$3))&gt;0,CEILING(MIN(H13,('Proforma (monthly)'!E54/E13)*CHOOSE(MIN(5,MAX(1,ROUNDUP((A70-'Growth &amp; timing'!B5)/12,0))),$L$3,$M$3,$N$3,$O$3,$P$3)),1),0))</f>
        <v>9</v>
      </c>
      <c r="K70" s="52">
        <f>IF(B70&lt;G14,0,IF(MIN(H14,('Proforma (monthly)'!E54/E14))&gt;0,CEILING(MIN(H14,('Proforma (monthly)'!E54/E14)),1),0))</f>
        <v>2</v>
      </c>
      <c r="L70" s="52">
        <f>IF(B70&lt;G15,0,IF(MIN(H15,('Proforma (monthly)'!C54/E15))&gt;0,CEILING(MIN(H15,('Proforma (monthly)'!C54/E15)),1),0))</f>
        <v>2</v>
      </c>
      <c r="M70" s="52">
        <f>IF(B70&lt;G16,0,IF(MIN(H16,(L70/E16))&gt;0,CEILING(MIN(H16,(L70/E16)),1),0))</f>
        <v>1</v>
      </c>
      <c r="N70" s="52">
        <f>IF(B70&lt;G17,0,IF(MIN(H17,(E17+MAX(0,B70-G17)/12*F17))&gt;0,CEILING(MIN(H17,(E17+MAX(0,B70-G17)/12*F17)),1),0))</f>
        <v>3</v>
      </c>
      <c r="O70" s="52">
        <f t="shared" si="4"/>
        <v>33</v>
      </c>
      <c r="P70" s="52">
        <f>IF(B70&lt;G18,0,IF(MIN(H18,(O70/E18))&gt;0,CEILING(MIN(H18,(O70/E18)),1),0))</f>
        <v>1</v>
      </c>
      <c r="Q70" s="14">
        <f>(F70*D9*IF(B70&gt;=G9+24,Staffing!B6,1)+G70*D10*IF(B70&gt;=G10+24,Staffing!B6,1)+H70*D11*IF(B70&gt;=G11+24,Staffing!B6,1)+I70*D12*IF(B70&gt;=G12+24,Staffing!B6,1)+J70*D13*IF(B70&gt;=G13+24,Staffing!B6,1)+K70*D14*IF(B70&gt;=G14+24,Staffing!B6,1))/12</f>
        <v>112083.33333333333</v>
      </c>
      <c r="R70" s="14">
        <f>(C70*D6*IF(B70&gt;=G6+24,Staffing!B6,1)+D70*D7*IF(B70&gt;=G7+24,Staffing!B6,1)+E70*D8*IF(B70&gt;=G8+24,Staffing!B6,1)+L70*D15*IF(B70&gt;=G15+24,Staffing!B6,1)+M70*D16*IF(B70&gt;=G16+24,Staffing!B6,1)+N70*D17*IF(B70&gt;=G17+24,Staffing!B6,1)+P70*D18*IF(B70&gt;=G18+24,Staffing!B6,1))/12</f>
        <v>232500</v>
      </c>
      <c r="S70" s="52">
        <f t="shared" si="5"/>
        <v>34</v>
      </c>
    </row>
    <row r="71" spans="1:19" x14ac:dyDescent="0.25">
      <c r="A71" s="51">
        <v>50</v>
      </c>
      <c r="B71" s="52">
        <f t="shared" si="3"/>
        <v>49</v>
      </c>
      <c r="C71" s="52">
        <f>IF(B71&lt;G6,0,IF(MIN(H6,(E6+MAX(0,B71-G6)/12*F6))&gt;0,CEILING(MIN(H6,(E6+MAX(0,B71-G6)/12*F6)),1),0))</f>
        <v>3</v>
      </c>
      <c r="D71" s="52">
        <f>IF(B71&lt;G7,0,IF(MIN(H7,(E7+MAX(0,B71-G7)/12*F7))&gt;0,CEILING(MIN(H7,(E7+MAX(0,B71-G7)/12*F7)),1),0))</f>
        <v>4</v>
      </c>
      <c r="E71" s="52">
        <f>IF(B71&lt;G8,0,IF(MIN(H8,(E8+MAX(0,B71-G8)/12*F8))&gt;0,CEILING(MIN(H8,(E8+MAX(0,B71-G8)/12*F8)),1),0))</f>
        <v>2</v>
      </c>
      <c r="F71" s="52">
        <f>IF(B71&lt;G9,0,IF(MIN(H9,('Proforma (monthly)'!C55/E9))&gt;0,CEILING(MIN(H9,('Proforma (monthly)'!C55/E9)),1),0))</f>
        <v>1</v>
      </c>
      <c r="G71" s="52">
        <f>IF(B71&lt;G10,0,IF(MIN(H10,('Proforma (monthly)'!E55/E10))&gt;0,CEILING(MIN(H10,('Proforma (monthly)'!E55/E10)),1),0))</f>
        <v>2</v>
      </c>
      <c r="H71" s="52">
        <f>IF(B71&lt;G11,0,IF(MIN(H11,('Proforma (monthly)'!E55/E11))&gt;0,CEILING(MIN(H11,('Proforma (monthly)'!E55/E11)),1),0))</f>
        <v>3</v>
      </c>
      <c r="I71" s="52">
        <f>IF(B71&lt;G12,0,IF(MIN(H12,('Proforma (monthly)'!E55/E12))&gt;0,CEILING(MIN(H12,('Proforma (monthly)'!E55/E12)),1),0))</f>
        <v>1</v>
      </c>
      <c r="J71" s="52">
        <f>IF(B71&lt;G13,0,IF(MIN(H13,('Proforma (monthly)'!E55/E13)*CHOOSE(MIN(5,MAX(1,ROUNDUP((A71-'Growth &amp; timing'!B5)/12,0))),$L$3,$M$3,$N$3,$O$3,$P$3))&gt;0,CEILING(MIN(H13,('Proforma (monthly)'!E55/E13)*CHOOSE(MIN(5,MAX(1,ROUNDUP((A71-'Growth &amp; timing'!B5)/12,0))),$L$3,$M$3,$N$3,$O$3,$P$3)),1),0))</f>
        <v>9</v>
      </c>
      <c r="K71" s="52">
        <f>IF(B71&lt;G14,0,IF(MIN(H14,('Proforma (monthly)'!E55/E14))&gt;0,CEILING(MIN(H14,('Proforma (monthly)'!E55/E14)),1),0))</f>
        <v>2</v>
      </c>
      <c r="L71" s="52">
        <f>IF(B71&lt;G15,0,IF(MIN(H15,('Proforma (monthly)'!C55/E15))&gt;0,CEILING(MIN(H15,('Proforma (monthly)'!C55/E15)),1),0))</f>
        <v>2</v>
      </c>
      <c r="M71" s="52">
        <f>IF(B71&lt;G16,0,IF(MIN(H16,(L71/E16))&gt;0,CEILING(MIN(H16,(L71/E16)),1),0))</f>
        <v>1</v>
      </c>
      <c r="N71" s="52">
        <f>IF(B71&lt;G17,0,IF(MIN(H17,(E17+MAX(0,B71-G17)/12*F17))&gt;0,CEILING(MIN(H17,(E17+MAX(0,B71-G17)/12*F17)),1),0))</f>
        <v>3</v>
      </c>
      <c r="O71" s="52">
        <f t="shared" si="4"/>
        <v>33</v>
      </c>
      <c r="P71" s="52">
        <f>IF(B71&lt;G18,0,IF(MIN(H18,(O71/E18))&gt;0,CEILING(MIN(H18,(O71/E18)),1),0))</f>
        <v>1</v>
      </c>
      <c r="Q71" s="14">
        <f>(F71*D9*IF(B71&gt;=G9+24,Staffing!B6,1)+G71*D10*IF(B71&gt;=G10+24,Staffing!B6,1)+H71*D11*IF(B71&gt;=G11+24,Staffing!B6,1)+I71*D12*IF(B71&gt;=G12+24,Staffing!B6,1)+J71*D13*IF(B71&gt;=G13+24,Staffing!B6,1)+K71*D14*IF(B71&gt;=G14+24,Staffing!B6,1))/12</f>
        <v>112083.33333333333</v>
      </c>
      <c r="R71" s="14">
        <f>(C71*D6*IF(B71&gt;=G6+24,Staffing!B6,1)+D71*D7*IF(B71&gt;=G7+24,Staffing!B6,1)+E71*D8*IF(B71&gt;=G8+24,Staffing!B6,1)+L71*D15*IF(B71&gt;=G15+24,Staffing!B6,1)+M71*D16*IF(B71&gt;=G16+24,Staffing!B6,1)+N71*D17*IF(B71&gt;=G17+24,Staffing!B6,1)+P71*D18*IF(B71&gt;=G18+24,Staffing!B6,1))/12</f>
        <v>232500</v>
      </c>
      <c r="S71" s="52">
        <f t="shared" si="5"/>
        <v>34</v>
      </c>
    </row>
    <row r="72" spans="1:19" x14ac:dyDescent="0.25">
      <c r="A72" s="51">
        <v>51</v>
      </c>
      <c r="B72" s="52">
        <f t="shared" si="3"/>
        <v>50</v>
      </c>
      <c r="C72" s="52">
        <f>IF(B72&lt;G6,0,IF(MIN(H6,(E6+MAX(0,B72-G6)/12*F6))&gt;0,CEILING(MIN(H6,(E6+MAX(0,B72-G6)/12*F6)),1),0))</f>
        <v>3</v>
      </c>
      <c r="D72" s="52">
        <f>IF(B72&lt;G7,0,IF(MIN(H7,(E7+MAX(0,B72-G7)/12*F7))&gt;0,CEILING(MIN(H7,(E7+MAX(0,B72-G7)/12*F7)),1),0))</f>
        <v>4</v>
      </c>
      <c r="E72" s="52">
        <f>IF(B72&lt;G8,0,IF(MIN(H8,(E8+MAX(0,B72-G8)/12*F8))&gt;0,CEILING(MIN(H8,(E8+MAX(0,B72-G8)/12*F8)),1),0))</f>
        <v>2</v>
      </c>
      <c r="F72" s="52">
        <f>IF(B72&lt;G9,0,IF(MIN(H9,('Proforma (monthly)'!C56/E9))&gt;0,CEILING(MIN(H9,('Proforma (monthly)'!C56/E9)),1),0))</f>
        <v>1</v>
      </c>
      <c r="G72" s="52">
        <f>IF(B72&lt;G10,0,IF(MIN(H10,('Proforma (monthly)'!E56/E10))&gt;0,CEILING(MIN(H10,('Proforma (monthly)'!E56/E10)),1),0))</f>
        <v>2</v>
      </c>
      <c r="H72" s="52">
        <f>IF(B72&lt;G11,0,IF(MIN(H11,('Proforma (monthly)'!E56/E11))&gt;0,CEILING(MIN(H11,('Proforma (monthly)'!E56/E11)),1),0))</f>
        <v>4</v>
      </c>
      <c r="I72" s="52">
        <f>IF(B72&lt;G12,0,IF(MIN(H12,('Proforma (monthly)'!E56/E12))&gt;0,CEILING(MIN(H12,('Proforma (monthly)'!E56/E12)),1),0))</f>
        <v>1</v>
      </c>
      <c r="J72" s="52">
        <f>IF(B72&lt;G13,0,IF(MIN(H13,('Proforma (monthly)'!E56/E13)*CHOOSE(MIN(5,MAX(1,ROUNDUP((A72-'Growth &amp; timing'!B5)/12,0))),$L$3,$M$3,$N$3,$O$3,$P$3))&gt;0,CEILING(MIN(H13,('Proforma (monthly)'!E56/E13)*CHOOSE(MIN(5,MAX(1,ROUNDUP((A72-'Growth &amp; timing'!B5)/12,0))),$L$3,$M$3,$N$3,$O$3,$P$3)),1),0))</f>
        <v>10</v>
      </c>
      <c r="K72" s="52">
        <f>IF(B72&lt;G14,0,IF(MIN(H14,('Proforma (monthly)'!E56/E14))&gt;0,CEILING(MIN(H14,('Proforma (monthly)'!E56/E14)),1),0))</f>
        <v>2</v>
      </c>
      <c r="L72" s="52">
        <f>IF(B72&lt;G15,0,IF(MIN(H15,('Proforma (monthly)'!C56/E15))&gt;0,CEILING(MIN(H15,('Proforma (monthly)'!C56/E15)),1),0))</f>
        <v>2</v>
      </c>
      <c r="M72" s="52">
        <f>IF(B72&lt;G16,0,IF(MIN(H16,(L72/E16))&gt;0,CEILING(MIN(H16,(L72/E16)),1),0))</f>
        <v>1</v>
      </c>
      <c r="N72" s="52">
        <f>IF(B72&lt;G17,0,IF(MIN(H17,(E17+MAX(0,B72-G17)/12*F17))&gt;0,CEILING(MIN(H17,(E17+MAX(0,B72-G17)/12*F17)),1),0))</f>
        <v>3</v>
      </c>
      <c r="O72" s="52">
        <f t="shared" si="4"/>
        <v>35</v>
      </c>
      <c r="P72" s="52">
        <f>IF(B72&lt;G18,0,IF(MIN(H18,(O72/E18))&gt;0,CEILING(MIN(H18,(O72/E18)),1),0))</f>
        <v>1</v>
      </c>
      <c r="Q72" s="14">
        <f>(F72*D9*IF(B72&gt;=G9+24,Staffing!B6,1)+G72*D10*IF(B72&gt;=G10+24,Staffing!B6,1)+H72*D11*IF(B72&gt;=G11+24,Staffing!B6,1)+I72*D12*IF(B72&gt;=G12+24,Staffing!B6,1)+J72*D13*IF(B72&gt;=G13+24,Staffing!B6,1)+K72*D14*IF(B72&gt;=G14+24,Staffing!B6,1))/12</f>
        <v>122750</v>
      </c>
      <c r="R72" s="14">
        <f>(C72*D6*IF(B72&gt;=G6+24,Staffing!B6,1)+D72*D7*IF(B72&gt;=G7+24,Staffing!B6,1)+E72*D8*IF(B72&gt;=G8+24,Staffing!B6,1)+L72*D15*IF(B72&gt;=G15+24,Staffing!B6,1)+M72*D16*IF(B72&gt;=G16+24,Staffing!B6,1)+N72*D17*IF(B72&gt;=G17+24,Staffing!B6,1)+P72*D18*IF(B72&gt;=G18+24,Staffing!B6,1))/12</f>
        <v>232500</v>
      </c>
      <c r="S72" s="52">
        <f t="shared" si="5"/>
        <v>36</v>
      </c>
    </row>
    <row r="73" spans="1:19" x14ac:dyDescent="0.25">
      <c r="A73" s="51">
        <v>52</v>
      </c>
      <c r="B73" s="52">
        <f t="shared" si="3"/>
        <v>51</v>
      </c>
      <c r="C73" s="52">
        <f>IF(B73&lt;G6,0,IF(MIN(H6,(E6+MAX(0,B73-G6)/12*F6))&gt;0,CEILING(MIN(H6,(E6+MAX(0,B73-G6)/12*F6)),1),0))</f>
        <v>3</v>
      </c>
      <c r="D73" s="52">
        <f>IF(B73&lt;G7,0,IF(MIN(H7,(E7+MAX(0,B73-G7)/12*F7))&gt;0,CEILING(MIN(H7,(E7+MAX(0,B73-G7)/12*F7)),1),0))</f>
        <v>4</v>
      </c>
      <c r="E73" s="52">
        <f>IF(B73&lt;G8,0,IF(MIN(H8,(E8+MAX(0,B73-G8)/12*F8))&gt;0,CEILING(MIN(H8,(E8+MAX(0,B73-G8)/12*F8)),1),0))</f>
        <v>2</v>
      </c>
      <c r="F73" s="52">
        <f>IF(B73&lt;G9,0,IF(MIN(H9,('Proforma (monthly)'!C57/E9))&gt;0,CEILING(MIN(H9,('Proforma (monthly)'!C57/E9)),1),0))</f>
        <v>1</v>
      </c>
      <c r="G73" s="52">
        <f>IF(B73&lt;G10,0,IF(MIN(H10,('Proforma (monthly)'!E57/E10))&gt;0,CEILING(MIN(H10,('Proforma (monthly)'!E57/E10)),1),0))</f>
        <v>2</v>
      </c>
      <c r="H73" s="52">
        <f>IF(B73&lt;G11,0,IF(MIN(H11,('Proforma (monthly)'!E57/E11))&gt;0,CEILING(MIN(H11,('Proforma (monthly)'!E57/E11)),1),0))</f>
        <v>4</v>
      </c>
      <c r="I73" s="52">
        <f>IF(B73&lt;G12,0,IF(MIN(H12,('Proforma (monthly)'!E57/E12))&gt;0,CEILING(MIN(H12,('Proforma (monthly)'!E57/E12)),1),0))</f>
        <v>2</v>
      </c>
      <c r="J73" s="52">
        <f>IF(B73&lt;G13,0,IF(MIN(H13,('Proforma (monthly)'!E57/E13)*CHOOSE(MIN(5,MAX(1,ROUNDUP((A73-'Growth &amp; timing'!B5)/12,0))),$L$3,$M$3,$N$3,$O$3,$P$3))&gt;0,CEILING(MIN(H13,('Proforma (monthly)'!E57/E13)*CHOOSE(MIN(5,MAX(1,ROUNDUP((A73-'Growth &amp; timing'!B5)/12,0))),$L$3,$M$3,$N$3,$O$3,$P$3)),1),0))</f>
        <v>11</v>
      </c>
      <c r="K73" s="52">
        <f>IF(B73&lt;G14,0,IF(MIN(H14,('Proforma (monthly)'!E57/E14))&gt;0,CEILING(MIN(H14,('Proforma (monthly)'!E57/E14)),1),0))</f>
        <v>2</v>
      </c>
      <c r="L73" s="52">
        <f>IF(B73&lt;G15,0,IF(MIN(H15,('Proforma (monthly)'!C57/E15))&gt;0,CEILING(MIN(H15,('Proforma (monthly)'!C57/E15)),1),0))</f>
        <v>2</v>
      </c>
      <c r="M73" s="52">
        <f>IF(B73&lt;G16,0,IF(MIN(H16,(L73/E16))&gt;0,CEILING(MIN(H16,(L73/E16)),1),0))</f>
        <v>1</v>
      </c>
      <c r="N73" s="52">
        <f>IF(B73&lt;G17,0,IF(MIN(H17,(E17+MAX(0,B73-G17)/12*F17))&gt;0,CEILING(MIN(H17,(E17+MAX(0,B73-G17)/12*F17)),1),0))</f>
        <v>3</v>
      </c>
      <c r="O73" s="52">
        <f t="shared" si="4"/>
        <v>37</v>
      </c>
      <c r="P73" s="52">
        <f>IF(B73&lt;G18,0,IF(MIN(H18,(O73/E18))&gt;0,CEILING(MIN(H18,(O73/E18)),1),0))</f>
        <v>2</v>
      </c>
      <c r="Q73" s="14">
        <f>(F73*D9*IF(B73&gt;=G9+24,Staffing!B6,1)+G73*D10*IF(B73&gt;=G10+24,Staffing!B6,1)+H73*D11*IF(B73&gt;=G11+24,Staffing!B6,1)+I73*D12*IF(B73&gt;=G12+24,Staffing!B6,1)+J73*D13*IF(B73&gt;=G13+24,Staffing!B6,1)+K73*D14*IF(B73&gt;=G14+24,Staffing!B6,1))/12</f>
        <v>136333.33333333334</v>
      </c>
      <c r="R73" s="14">
        <f>(C73*D6*IF(B73&gt;=G6+24,Staffing!B6,1)+D73*D7*IF(B73&gt;=G7+24,Staffing!B6,1)+E73*D8*IF(B73&gt;=G8+24,Staffing!B6,1)+L73*D15*IF(B73&gt;=G15+24,Staffing!B6,1)+M73*D16*IF(B73&gt;=G16+24,Staffing!B6,1)+N73*D17*IF(B73&gt;=G17+24,Staffing!B6,1)+P73*D18*IF(B73&gt;=G18+24,Staffing!B6,1))/12</f>
        <v>243500</v>
      </c>
      <c r="S73" s="52">
        <f t="shared" si="5"/>
        <v>39</v>
      </c>
    </row>
    <row r="74" spans="1:19" x14ac:dyDescent="0.25">
      <c r="A74" s="51">
        <v>53</v>
      </c>
      <c r="B74" s="52">
        <f t="shared" si="3"/>
        <v>52</v>
      </c>
      <c r="C74" s="52">
        <f>IF(B74&lt;G6,0,IF(MIN(H6,(E6+MAX(0,B74-G6)/12*F6))&gt;0,CEILING(MIN(H6,(E6+MAX(0,B74-G6)/12*F6)),1),0))</f>
        <v>3</v>
      </c>
      <c r="D74" s="52">
        <f>IF(B74&lt;G7,0,IF(MIN(H7,(E7+MAX(0,B74-G7)/12*F7))&gt;0,CEILING(MIN(H7,(E7+MAX(0,B74-G7)/12*F7)),1),0))</f>
        <v>4</v>
      </c>
      <c r="E74" s="52">
        <f>IF(B74&lt;G8,0,IF(MIN(H8,(E8+MAX(0,B74-G8)/12*F8))&gt;0,CEILING(MIN(H8,(E8+MAX(0,B74-G8)/12*F8)),1),0))</f>
        <v>2</v>
      </c>
      <c r="F74" s="52">
        <f>IF(B74&lt;G9,0,IF(MIN(H9,('Proforma (monthly)'!C58/E9))&gt;0,CEILING(MIN(H9,('Proforma (monthly)'!C58/E9)),1),0))</f>
        <v>1</v>
      </c>
      <c r="G74" s="52">
        <f>IF(B74&lt;G10,0,IF(MIN(H10,('Proforma (monthly)'!E58/E10))&gt;0,CEILING(MIN(H10,('Proforma (monthly)'!E58/E10)),1),0))</f>
        <v>2</v>
      </c>
      <c r="H74" s="52">
        <f>IF(B74&lt;G11,0,IF(MIN(H11,('Proforma (monthly)'!E58/E11))&gt;0,CEILING(MIN(H11,('Proforma (monthly)'!E58/E11)),1),0))</f>
        <v>4</v>
      </c>
      <c r="I74" s="52">
        <f>IF(B74&lt;G12,0,IF(MIN(H12,('Proforma (monthly)'!E58/E12))&gt;0,CEILING(MIN(H12,('Proforma (monthly)'!E58/E12)),1),0))</f>
        <v>2</v>
      </c>
      <c r="J74" s="52">
        <f>IF(B74&lt;G13,0,IF(MIN(H13,('Proforma (monthly)'!E58/E13)*CHOOSE(MIN(5,MAX(1,ROUNDUP((A74-'Growth &amp; timing'!B5)/12,0))),$L$3,$M$3,$N$3,$O$3,$P$3))&gt;0,CEILING(MIN(H13,('Proforma (monthly)'!E58/E13)*CHOOSE(MIN(5,MAX(1,ROUNDUP((A74-'Growth &amp; timing'!B5)/12,0))),$L$3,$M$3,$N$3,$O$3,$P$3)),1),0))</f>
        <v>11</v>
      </c>
      <c r="K74" s="52">
        <f>IF(B74&lt;G14,0,IF(MIN(H14,('Proforma (monthly)'!E58/E14))&gt;0,CEILING(MIN(H14,('Proforma (monthly)'!E58/E14)),1),0))</f>
        <v>2</v>
      </c>
      <c r="L74" s="52">
        <f>IF(B74&lt;G15,0,IF(MIN(H15,('Proforma (monthly)'!C58/E15))&gt;0,CEILING(MIN(H15,('Proforma (monthly)'!C58/E15)),1),0))</f>
        <v>3</v>
      </c>
      <c r="M74" s="52">
        <f>IF(B74&lt;G16,0,IF(MIN(H16,(L74/E16))&gt;0,CEILING(MIN(H16,(L74/E16)),1),0))</f>
        <v>2</v>
      </c>
      <c r="N74" s="52">
        <f>IF(B74&lt;G17,0,IF(MIN(H17,(E17+MAX(0,B74-G17)/12*F17))&gt;0,CEILING(MIN(H17,(E17+MAX(0,B74-G17)/12*F17)),1),0))</f>
        <v>3</v>
      </c>
      <c r="O74" s="52">
        <f t="shared" si="4"/>
        <v>39</v>
      </c>
      <c r="P74" s="52">
        <f>IF(B74&lt;G18,0,IF(MIN(H18,(O74/E18))&gt;0,CEILING(MIN(H18,(O74/E18)),1),0))</f>
        <v>2</v>
      </c>
      <c r="Q74" s="14">
        <f>(F74*D9*IF(B74&gt;=G9+24,Staffing!B6,1)+G74*D10*IF(B74&gt;=G10+24,Staffing!B6,1)+H74*D11*IF(B74&gt;=G11+24,Staffing!B6,1)+I74*D12*IF(B74&gt;=G12+24,Staffing!B6,1)+J74*D13*IF(B74&gt;=G13+24,Staffing!B6,1)+K74*D14*IF(B74&gt;=G14+24,Staffing!B6,1))/12</f>
        <v>155133.33333333334</v>
      </c>
      <c r="R74" s="14">
        <f>(C74*D6*IF(B74&gt;=G6+24,Staffing!B6,1)+D74*D7*IF(B74&gt;=G7+24,Staffing!B6,1)+E74*D8*IF(B74&gt;=G8+24,Staffing!B6,1)+L74*D15*IF(B74&gt;=G15+24,Staffing!B6,1)+M74*D16*IF(B74&gt;=G16+24,Staffing!B6,1)+N74*D17*IF(B74&gt;=G17+24,Staffing!B6,1)+P74*D18*IF(B74&gt;=G18+24,Staffing!B6,1))/12</f>
        <v>264666.66666666669</v>
      </c>
      <c r="S74" s="52">
        <f t="shared" si="5"/>
        <v>41</v>
      </c>
    </row>
    <row r="75" spans="1:19" x14ac:dyDescent="0.25">
      <c r="A75" s="51">
        <v>54</v>
      </c>
      <c r="B75" s="52">
        <f t="shared" si="3"/>
        <v>53</v>
      </c>
      <c r="C75" s="52">
        <f>IF(B75&lt;G6,0,IF(MIN(H6,(E6+MAX(0,B75-G6)/12*F6))&gt;0,CEILING(MIN(H6,(E6+MAX(0,B75-G6)/12*F6)),1),0))</f>
        <v>3</v>
      </c>
      <c r="D75" s="52">
        <f>IF(B75&lt;G7,0,IF(MIN(H7,(E7+MAX(0,B75-G7)/12*F7))&gt;0,CEILING(MIN(H7,(E7+MAX(0,B75-G7)/12*F7)),1),0))</f>
        <v>4</v>
      </c>
      <c r="E75" s="52">
        <f>IF(B75&lt;G8,0,IF(MIN(H8,(E8+MAX(0,B75-G8)/12*F8))&gt;0,CEILING(MIN(H8,(E8+MAX(0,B75-G8)/12*F8)),1),0))</f>
        <v>3</v>
      </c>
      <c r="F75" s="52">
        <f>IF(B75&lt;G9,0,IF(MIN(H9,('Proforma (monthly)'!C59/E9))&gt;0,CEILING(MIN(H9,('Proforma (monthly)'!C59/E9)),1),0))</f>
        <v>1</v>
      </c>
      <c r="G75" s="52">
        <f>IF(B75&lt;G10,0,IF(MIN(H10,('Proforma (monthly)'!E59/E10))&gt;0,CEILING(MIN(H10,('Proforma (monthly)'!E59/E10)),1),0))</f>
        <v>2</v>
      </c>
      <c r="H75" s="52">
        <f>IF(B75&lt;G11,0,IF(MIN(H11,('Proforma (monthly)'!E59/E11))&gt;0,CEILING(MIN(H11,('Proforma (monthly)'!E59/E11)),1),0))</f>
        <v>4</v>
      </c>
      <c r="I75" s="52">
        <f>IF(B75&lt;G12,0,IF(MIN(H12,('Proforma (monthly)'!E59/E12))&gt;0,CEILING(MIN(H12,('Proforma (monthly)'!E59/E12)),1),0))</f>
        <v>2</v>
      </c>
      <c r="J75" s="52">
        <f>IF(B75&lt;G13,0,IF(MIN(H13,('Proforma (monthly)'!E59/E13)*CHOOSE(MIN(5,MAX(1,ROUNDUP((A75-'Growth &amp; timing'!B5)/12,0))),$L$3,$M$3,$N$3,$O$3,$P$3))&gt;0,CEILING(MIN(H13,('Proforma (monthly)'!E59/E13)*CHOOSE(MIN(5,MAX(1,ROUNDUP((A75-'Growth &amp; timing'!B5)/12,0))),$L$3,$M$3,$N$3,$O$3,$P$3)),1),0))</f>
        <v>12</v>
      </c>
      <c r="K75" s="52">
        <f>IF(B75&lt;G14,0,IF(MIN(H14,('Proforma (monthly)'!E59/E14))&gt;0,CEILING(MIN(H14,('Proforma (monthly)'!E59/E14)),1),0))</f>
        <v>2</v>
      </c>
      <c r="L75" s="52">
        <f>IF(B75&lt;G15,0,IF(MIN(H15,('Proforma (monthly)'!C59/E15))&gt;0,CEILING(MIN(H15,('Proforma (monthly)'!C59/E15)),1),0))</f>
        <v>3</v>
      </c>
      <c r="M75" s="52">
        <f>IF(B75&lt;G16,0,IF(MIN(H16,(L75/E16))&gt;0,CEILING(MIN(H16,(L75/E16)),1),0))</f>
        <v>2</v>
      </c>
      <c r="N75" s="52">
        <f>IF(B75&lt;G17,0,IF(MIN(H17,(E17+MAX(0,B75-G17)/12*F17))&gt;0,CEILING(MIN(H17,(E17+MAX(0,B75-G17)/12*F17)),1),0))</f>
        <v>3</v>
      </c>
      <c r="O75" s="52">
        <f t="shared" si="4"/>
        <v>41</v>
      </c>
      <c r="P75" s="52">
        <f>IF(B75&lt;G18,0,IF(MIN(H18,(O75/E18))&gt;0,CEILING(MIN(H18,(O75/E18)),1),0))</f>
        <v>2</v>
      </c>
      <c r="Q75" s="14">
        <f>(F75*D9*IF(B75&gt;=G9+24,Staffing!B6,1)+G75*D10*IF(B75&gt;=G10+24,Staffing!B6,1)+H75*D11*IF(B75&gt;=G11+24,Staffing!B6,1)+I75*D12*IF(B75&gt;=G12+24,Staffing!B6,1)+J75*D13*IF(B75&gt;=G13+24,Staffing!B6,1)+K75*D14*IF(B75&gt;=G14+24,Staffing!B6,1))/12</f>
        <v>161933.33333333334</v>
      </c>
      <c r="R75" s="14">
        <f>(C75*D6*IF(B75&gt;=G6+24,Staffing!B6,1)+D75*D7*IF(B75&gt;=G7+24,Staffing!B6,1)+E75*D8*IF(B75&gt;=G8+24,Staffing!B6,1)+L75*D15*IF(B75&gt;=G15+24,Staffing!B6,1)+M75*D16*IF(B75&gt;=G16+24,Staffing!B6,1)+N75*D17*IF(B75&gt;=G17+24,Staffing!B6,1)+P75*D18*IF(B75&gt;=G18+24,Staffing!B6,1))/12</f>
        <v>275666.66666666669</v>
      </c>
      <c r="S75" s="52">
        <f t="shared" si="5"/>
        <v>43</v>
      </c>
    </row>
    <row r="76" spans="1:19" x14ac:dyDescent="0.25">
      <c r="A76" s="51">
        <v>55</v>
      </c>
      <c r="B76" s="52">
        <f t="shared" si="3"/>
        <v>54</v>
      </c>
      <c r="C76" s="52">
        <f>IF(B76&lt;G6,0,IF(MIN(H6,(E6+MAX(0,B76-G6)/12*F6))&gt;0,CEILING(MIN(H6,(E6+MAX(0,B76-G6)/12*F6)),1),0))</f>
        <v>3</v>
      </c>
      <c r="D76" s="52">
        <f>IF(B76&lt;G7,0,IF(MIN(H7,(E7+MAX(0,B76-G7)/12*F7))&gt;0,CEILING(MIN(H7,(E7+MAX(0,B76-G7)/12*F7)),1),0))</f>
        <v>4</v>
      </c>
      <c r="E76" s="52">
        <f>IF(B76&lt;G8,0,IF(MIN(H8,(E8+MAX(0,B76-G8)/12*F8))&gt;0,CEILING(MIN(H8,(E8+MAX(0,B76-G8)/12*F8)),1),0))</f>
        <v>3</v>
      </c>
      <c r="F76" s="52">
        <f>IF(B76&lt;G9,0,IF(MIN(H9,('Proforma (monthly)'!C60/E9))&gt;0,CEILING(MIN(H9,('Proforma (monthly)'!C60/E9)),1),0))</f>
        <v>1</v>
      </c>
      <c r="G76" s="52">
        <f>IF(B76&lt;G10,0,IF(MIN(H10,('Proforma (monthly)'!E60/E10))&gt;0,CEILING(MIN(H10,('Proforma (monthly)'!E60/E10)),1),0))</f>
        <v>2</v>
      </c>
      <c r="H76" s="52">
        <f>IF(B76&lt;G11,0,IF(MIN(H11,('Proforma (monthly)'!E60/E11))&gt;0,CEILING(MIN(H11,('Proforma (monthly)'!E60/E11)),1),0))</f>
        <v>5</v>
      </c>
      <c r="I76" s="52">
        <f>IF(B76&lt;G12,0,IF(MIN(H12,('Proforma (monthly)'!E60/E12))&gt;0,CEILING(MIN(H12,('Proforma (monthly)'!E60/E12)),1),0))</f>
        <v>2</v>
      </c>
      <c r="J76" s="52">
        <f>IF(B76&lt;G13,0,IF(MIN(H13,('Proforma (monthly)'!E60/E13)*CHOOSE(MIN(5,MAX(1,ROUNDUP((A76-'Growth &amp; timing'!B5)/12,0))),$L$3,$M$3,$N$3,$O$3,$P$3))&gt;0,CEILING(MIN(H13,('Proforma (monthly)'!E60/E13)*CHOOSE(MIN(5,MAX(1,ROUNDUP((A76-'Growth &amp; timing'!B5)/12,0))),$L$3,$M$3,$N$3,$O$3,$P$3)),1),0))</f>
        <v>13</v>
      </c>
      <c r="K76" s="52">
        <f>IF(B76&lt;G14,0,IF(MIN(H14,('Proforma (monthly)'!E60/E14))&gt;0,CEILING(MIN(H14,('Proforma (monthly)'!E60/E14)),1),0))</f>
        <v>2</v>
      </c>
      <c r="L76" s="52">
        <f>IF(B76&lt;G15,0,IF(MIN(H15,('Proforma (monthly)'!C60/E15))&gt;0,CEILING(MIN(H15,('Proforma (monthly)'!C60/E15)),1),0))</f>
        <v>3</v>
      </c>
      <c r="M76" s="52">
        <f>IF(B76&lt;G16,0,IF(MIN(H16,(L76/E16))&gt;0,CEILING(MIN(H16,(L76/E16)),1),0))</f>
        <v>2</v>
      </c>
      <c r="N76" s="52">
        <f>IF(B76&lt;G17,0,IF(MIN(H17,(E17+MAX(0,B76-G17)/12*F17))&gt;0,CEILING(MIN(H17,(E17+MAX(0,B76-G17)/12*F17)),1),0))</f>
        <v>3</v>
      </c>
      <c r="O76" s="52">
        <f t="shared" si="4"/>
        <v>43</v>
      </c>
      <c r="P76" s="52">
        <f>IF(B76&lt;G18,0,IF(MIN(H18,(O76/E18))&gt;0,CEILING(MIN(H18,(O76/E18)),1),0))</f>
        <v>2</v>
      </c>
      <c r="Q76" s="14">
        <f>(F76*D9*IF(B76&gt;=G9+24,Staffing!B6,1)+G76*D10*IF(B76&gt;=G10+24,Staffing!B6,1)+H76*D11*IF(B76&gt;=G11+24,Staffing!B6,1)+I76*D12*IF(B76&gt;=G12+24,Staffing!B6,1)+J76*D13*IF(B76&gt;=G13+24,Staffing!B6,1)+K76*D14*IF(B76&gt;=G14+24,Staffing!B6,1))/12</f>
        <v>178733.33333333334</v>
      </c>
      <c r="R76" s="14">
        <f>(C76*D6*IF(B76&gt;=G6+24,Staffing!B6,1)+D76*D7*IF(B76&gt;=G7+24,Staffing!B6,1)+E76*D8*IF(B76&gt;=G8+24,Staffing!B6,1)+L76*D15*IF(B76&gt;=G15+24,Staffing!B6,1)+M76*D16*IF(B76&gt;=G16+24,Staffing!B6,1)+N76*D17*IF(B76&gt;=G17+24,Staffing!B6,1)+P76*D18*IF(B76&gt;=G18+24,Staffing!B6,1))/12</f>
        <v>275666.66666666669</v>
      </c>
      <c r="S76" s="52">
        <f t="shared" si="5"/>
        <v>45</v>
      </c>
    </row>
    <row r="77" spans="1:19" x14ac:dyDescent="0.25">
      <c r="A77" s="51">
        <v>56</v>
      </c>
      <c r="B77" s="52">
        <f t="shared" si="3"/>
        <v>55</v>
      </c>
      <c r="C77" s="52">
        <f>IF(B77&lt;G6,0,IF(MIN(H6,(E6+MAX(0,B77-G6)/12*F6))&gt;0,CEILING(MIN(H6,(E6+MAX(0,B77-G6)/12*F6)),1),0))</f>
        <v>3</v>
      </c>
      <c r="D77" s="52">
        <f>IF(B77&lt;G7,0,IF(MIN(H7,(E7+MAX(0,B77-G7)/12*F7))&gt;0,CEILING(MIN(H7,(E7+MAX(0,B77-G7)/12*F7)),1),0))</f>
        <v>4</v>
      </c>
      <c r="E77" s="52">
        <f>IF(B77&lt;G8,0,IF(MIN(H8,(E8+MAX(0,B77-G8)/12*F8))&gt;0,CEILING(MIN(H8,(E8+MAX(0,B77-G8)/12*F8)),1),0))</f>
        <v>3</v>
      </c>
      <c r="F77" s="52">
        <f>IF(B77&lt;G9,0,IF(MIN(H9,('Proforma (monthly)'!C61/E9))&gt;0,CEILING(MIN(H9,('Proforma (monthly)'!C61/E9)),1),0))</f>
        <v>1</v>
      </c>
      <c r="G77" s="52">
        <f>IF(B77&lt;G10,0,IF(MIN(H10,('Proforma (monthly)'!E61/E10))&gt;0,CEILING(MIN(H10,('Proforma (monthly)'!E61/E10)),1),0))</f>
        <v>2</v>
      </c>
      <c r="H77" s="52">
        <f>IF(B77&lt;G11,0,IF(MIN(H11,('Proforma (monthly)'!E61/E11))&gt;0,CEILING(MIN(H11,('Proforma (monthly)'!E61/E11)),1),0))</f>
        <v>5</v>
      </c>
      <c r="I77" s="52">
        <f>IF(B77&lt;G12,0,IF(MIN(H12,('Proforma (monthly)'!E61/E12))&gt;0,CEILING(MIN(H12,('Proforma (monthly)'!E61/E12)),1),0))</f>
        <v>2</v>
      </c>
      <c r="J77" s="52">
        <f>IF(B77&lt;G13,0,IF(MIN(H13,('Proforma (monthly)'!E61/E13)*CHOOSE(MIN(5,MAX(1,ROUNDUP((A77-'Growth &amp; timing'!B5)/12,0))),$L$3,$M$3,$N$3,$O$3,$P$3))&gt;0,CEILING(MIN(H13,('Proforma (monthly)'!E61/E13)*CHOOSE(MIN(5,MAX(1,ROUNDUP((A77-'Growth &amp; timing'!B5)/12,0))),$L$3,$M$3,$N$3,$O$3,$P$3)),1),0))</f>
        <v>14</v>
      </c>
      <c r="K77" s="52">
        <f>IF(B77&lt;G14,0,IF(MIN(H14,('Proforma (monthly)'!E61/E14))&gt;0,CEILING(MIN(H14,('Proforma (monthly)'!E61/E14)),1),0))</f>
        <v>2</v>
      </c>
      <c r="L77" s="52">
        <f>IF(B77&lt;G15,0,IF(MIN(H15,('Proforma (monthly)'!C61/E15))&gt;0,CEILING(MIN(H15,('Proforma (monthly)'!C61/E15)),1),0))</f>
        <v>3</v>
      </c>
      <c r="M77" s="52">
        <f>IF(B77&lt;G16,0,IF(MIN(H16,(L77/E16))&gt;0,CEILING(MIN(H16,(L77/E16)),1),0))</f>
        <v>2</v>
      </c>
      <c r="N77" s="52">
        <f>IF(B77&lt;G17,0,IF(MIN(H17,(E17+MAX(0,B77-G17)/12*F17))&gt;0,CEILING(MIN(H17,(E17+MAX(0,B77-G17)/12*F17)),1),0))</f>
        <v>3</v>
      </c>
      <c r="O77" s="52">
        <f t="shared" si="4"/>
        <v>44</v>
      </c>
      <c r="P77" s="52">
        <f>IF(B77&lt;G18,0,IF(MIN(H18,(O77/E18))&gt;0,CEILING(MIN(H18,(O77/E18)),1),0))</f>
        <v>2</v>
      </c>
      <c r="Q77" s="14">
        <f>(F77*D9*IF(B77&gt;=G9+24,Staffing!B6,1)+G77*D10*IF(B77&gt;=G10+24,Staffing!B6,1)+H77*D11*IF(B77&gt;=G11+24,Staffing!B6,1)+I77*D12*IF(B77&gt;=G12+24,Staffing!B6,1)+J77*D13*IF(B77&gt;=G13+24,Staffing!B6,1)+K77*D14*IF(B77&gt;=G14+24,Staffing!B6,1))/12</f>
        <v>185533.33333333334</v>
      </c>
      <c r="R77" s="14">
        <f>(C77*D6*IF(B77&gt;=G6+24,Staffing!B6,1)+D77*D7*IF(B77&gt;=G7+24,Staffing!B6,1)+E77*D8*IF(B77&gt;=G8+24,Staffing!B6,1)+L77*D15*IF(B77&gt;=G15+24,Staffing!B6,1)+M77*D16*IF(B77&gt;=G16+24,Staffing!B6,1)+N77*D17*IF(B77&gt;=G17+24,Staffing!B6,1)+P77*D18*IF(B77&gt;=G18+24,Staffing!B6,1))/12</f>
        <v>275666.66666666669</v>
      </c>
      <c r="S77" s="52">
        <f t="shared" si="5"/>
        <v>46</v>
      </c>
    </row>
    <row r="78" spans="1:19" x14ac:dyDescent="0.25">
      <c r="A78" s="51">
        <v>57</v>
      </c>
      <c r="B78" s="52">
        <f t="shared" si="3"/>
        <v>56</v>
      </c>
      <c r="C78" s="52">
        <f>IF(B78&lt;G6,0,IF(MIN(H6,(E6+MAX(0,B78-G6)/12*F6))&gt;0,CEILING(MIN(H6,(E6+MAX(0,B78-G6)/12*F6)),1),0))</f>
        <v>3</v>
      </c>
      <c r="D78" s="52">
        <f>IF(B78&lt;G7,0,IF(MIN(H7,(E7+MAX(0,B78-G7)/12*F7))&gt;0,CEILING(MIN(H7,(E7+MAX(0,B78-G7)/12*F7)),1),0))</f>
        <v>4</v>
      </c>
      <c r="E78" s="52">
        <f>IF(B78&lt;G8,0,IF(MIN(H8,(E8+MAX(0,B78-G8)/12*F8))&gt;0,CEILING(MIN(H8,(E8+MAX(0,B78-G8)/12*F8)),1),0))</f>
        <v>3</v>
      </c>
      <c r="F78" s="52">
        <f>IF(B78&lt;G9,0,IF(MIN(H9,('Proforma (monthly)'!C62/E9))&gt;0,CEILING(MIN(H9,('Proforma (monthly)'!C62/E9)),1),0))</f>
        <v>2</v>
      </c>
      <c r="G78" s="52">
        <f>IF(B78&lt;G10,0,IF(MIN(H10,('Proforma (monthly)'!E62/E10))&gt;0,CEILING(MIN(H10,('Proforma (monthly)'!E62/E10)),1),0))</f>
        <v>2</v>
      </c>
      <c r="H78" s="52">
        <f>IF(B78&lt;G11,0,IF(MIN(H11,('Proforma (monthly)'!E62/E11))&gt;0,CEILING(MIN(H11,('Proforma (monthly)'!E62/E11)),1),0))</f>
        <v>5</v>
      </c>
      <c r="I78" s="52">
        <f>IF(B78&lt;G12,0,IF(MIN(H12,('Proforma (monthly)'!E62/E12))&gt;0,CEILING(MIN(H12,('Proforma (monthly)'!E62/E12)),1),0))</f>
        <v>2</v>
      </c>
      <c r="J78" s="52">
        <f>IF(B78&lt;G13,0,IF(MIN(H13,('Proforma (monthly)'!E62/E13)*CHOOSE(MIN(5,MAX(1,ROUNDUP((A78-'Growth &amp; timing'!B5)/12,0))),$L$3,$M$3,$N$3,$O$3,$P$3))&gt;0,CEILING(MIN(H13,('Proforma (monthly)'!E62/E13)*CHOOSE(MIN(5,MAX(1,ROUNDUP((A78-'Growth &amp; timing'!B5)/12,0))),$L$3,$M$3,$N$3,$O$3,$P$3)),1),0))</f>
        <v>15</v>
      </c>
      <c r="K78" s="52">
        <f>IF(B78&lt;G14,0,IF(MIN(H14,('Proforma (monthly)'!E62/E14))&gt;0,CEILING(MIN(H14,('Proforma (monthly)'!E62/E14)),1),0))</f>
        <v>2</v>
      </c>
      <c r="L78" s="52">
        <f>IF(B78&lt;G15,0,IF(MIN(H15,('Proforma (monthly)'!C62/E15))&gt;0,CEILING(MIN(H15,('Proforma (monthly)'!C62/E15)),1),0))</f>
        <v>3</v>
      </c>
      <c r="M78" s="52">
        <f>IF(B78&lt;G16,0,IF(MIN(H16,(L78/E16))&gt;0,CEILING(MIN(H16,(L78/E16)),1),0))</f>
        <v>2</v>
      </c>
      <c r="N78" s="52">
        <f>IF(B78&lt;G17,0,IF(MIN(H17,(E17+MAX(0,B78-G17)/12*F17))&gt;0,CEILING(MIN(H17,(E17+MAX(0,B78-G17)/12*F17)),1),0))</f>
        <v>3</v>
      </c>
      <c r="O78" s="52">
        <f t="shared" si="4"/>
        <v>46</v>
      </c>
      <c r="P78" s="52">
        <f>IF(B78&lt;G18,0,IF(MIN(H18,(O78/E18))&gt;0,CEILING(MIN(H18,(O78/E18)),1),0))</f>
        <v>2</v>
      </c>
      <c r="Q78" s="14">
        <f>(F78*D9*IF(B78&gt;=G9+24,Staffing!B6,1)+G78*D10*IF(B78&gt;=G10+24,Staffing!B6,1)+H78*D11*IF(B78&gt;=G11+24,Staffing!B6,1)+I78*D12*IF(B78&gt;=G12+24,Staffing!B6,1)+J78*D13*IF(B78&gt;=G13+24,Staffing!B6,1)+K78*D14*IF(B78&gt;=G14+24,Staffing!B6,1))/12</f>
        <v>204000</v>
      </c>
      <c r="R78" s="14">
        <f>(C78*D6*IF(B78&gt;=G6+24,Staffing!B6,1)+D78*D7*IF(B78&gt;=G7+24,Staffing!B6,1)+E78*D8*IF(B78&gt;=G8+24,Staffing!B6,1)+L78*D15*IF(B78&gt;=G15+24,Staffing!B6,1)+M78*D16*IF(B78&gt;=G16+24,Staffing!B6,1)+N78*D17*IF(B78&gt;=G17+24,Staffing!B6,1)+P78*D18*IF(B78&gt;=G18+24,Staffing!B6,1))/12</f>
        <v>282666.66666666669</v>
      </c>
      <c r="S78" s="52">
        <f t="shared" si="5"/>
        <v>48</v>
      </c>
    </row>
    <row r="79" spans="1:19" x14ac:dyDescent="0.25">
      <c r="A79" s="51">
        <v>58</v>
      </c>
      <c r="B79" s="52">
        <f t="shared" si="3"/>
        <v>57</v>
      </c>
      <c r="C79" s="52">
        <f>IF(B79&lt;G6,0,IF(MIN(H6,(E6+MAX(0,B79-G6)/12*F6))&gt;0,CEILING(MIN(H6,(E6+MAX(0,B79-G6)/12*F6)),1),0))</f>
        <v>3</v>
      </c>
      <c r="D79" s="52">
        <f>IF(B79&lt;G7,0,IF(MIN(H7,(E7+MAX(0,B79-G7)/12*F7))&gt;0,CEILING(MIN(H7,(E7+MAX(0,B79-G7)/12*F7)),1),0))</f>
        <v>4</v>
      </c>
      <c r="E79" s="52">
        <f>IF(B79&lt;G8,0,IF(MIN(H8,(E8+MAX(0,B79-G8)/12*F8))&gt;0,CEILING(MIN(H8,(E8+MAX(0,B79-G8)/12*F8)),1),0))</f>
        <v>3</v>
      </c>
      <c r="F79" s="52">
        <f>IF(B79&lt;G9,0,IF(MIN(H9,('Proforma (monthly)'!C63/E9))&gt;0,CEILING(MIN(H9,('Proforma (monthly)'!C63/E9)),1),0))</f>
        <v>2</v>
      </c>
      <c r="G79" s="52">
        <f>IF(B79&lt;G10,0,IF(MIN(H10,('Proforma (monthly)'!E63/E10))&gt;0,CEILING(MIN(H10,('Proforma (monthly)'!E63/E10)),1),0))</f>
        <v>3</v>
      </c>
      <c r="H79" s="52">
        <f>IF(B79&lt;G11,0,IF(MIN(H11,('Proforma (monthly)'!E63/E11))&gt;0,CEILING(MIN(H11,('Proforma (monthly)'!E63/E11)),1),0))</f>
        <v>6</v>
      </c>
      <c r="I79" s="52">
        <f>IF(B79&lt;G12,0,IF(MIN(H12,('Proforma (monthly)'!E63/E12))&gt;0,CEILING(MIN(H12,('Proforma (monthly)'!E63/E12)),1),0))</f>
        <v>2</v>
      </c>
      <c r="J79" s="52">
        <f>IF(B79&lt;G13,0,IF(MIN(H13,('Proforma (monthly)'!E63/E13)*CHOOSE(MIN(5,MAX(1,ROUNDUP((A79-'Growth &amp; timing'!B5)/12,0))),$L$3,$M$3,$N$3,$O$3,$P$3))&gt;0,CEILING(MIN(H13,('Proforma (monthly)'!E63/E13)*CHOOSE(MIN(5,MAX(1,ROUNDUP((A79-'Growth &amp; timing'!B5)/12,0))),$L$3,$M$3,$N$3,$O$3,$P$3)),1),0))</f>
        <v>16</v>
      </c>
      <c r="K79" s="52">
        <f>IF(B79&lt;G14,0,IF(MIN(H14,('Proforma (monthly)'!E63/E14))&gt;0,CEILING(MIN(H14,('Proforma (monthly)'!E63/E14)),1),0))</f>
        <v>3</v>
      </c>
      <c r="L79" s="52">
        <f>IF(B79&lt;G15,0,IF(MIN(H15,('Proforma (monthly)'!C63/E15))&gt;0,CEILING(MIN(H15,('Proforma (monthly)'!C63/E15)),1),0))</f>
        <v>3</v>
      </c>
      <c r="M79" s="52">
        <f>IF(B79&lt;G16,0,IF(MIN(H16,(L79/E16))&gt;0,CEILING(MIN(H16,(L79/E16)),1),0))</f>
        <v>2</v>
      </c>
      <c r="N79" s="52">
        <f>IF(B79&lt;G17,0,IF(MIN(H17,(E17+MAX(0,B79-G17)/12*F17))&gt;0,CEILING(MIN(H17,(E17+MAX(0,B79-G17)/12*F17)),1),0))</f>
        <v>3</v>
      </c>
      <c r="O79" s="52">
        <f t="shared" si="4"/>
        <v>50</v>
      </c>
      <c r="P79" s="52">
        <f>IF(B79&lt;G18,0,IF(MIN(H18,(O79/E18))&gt;0,CEILING(MIN(H18,(O79/E18)),1),0))</f>
        <v>2</v>
      </c>
      <c r="Q79" s="14">
        <f>(F79*D9*IF(B79&gt;=G9+24,Staffing!B6,1)+G79*D10*IF(B79&gt;=G10+24,Staffing!B6,1)+H79*D11*IF(B79&gt;=G11+24,Staffing!B6,1)+I79*D12*IF(B79&gt;=G12+24,Staffing!B6,1)+J79*D13*IF(B79&gt;=G13+24,Staffing!B6,1)+K79*D14*IF(B79&gt;=G14+24,Staffing!B6,1))/12</f>
        <v>234300</v>
      </c>
      <c r="R79" s="14">
        <f>(C79*D6*IF(B79&gt;=G6+24,Staffing!B6,1)+D79*D7*IF(B79&gt;=G7+24,Staffing!B6,1)+E79*D8*IF(B79&gt;=G8+24,Staffing!B6,1)+L79*D15*IF(B79&gt;=G15+24,Staffing!B6,1)+M79*D16*IF(B79&gt;=G16+24,Staffing!B6,1)+N79*D17*IF(B79&gt;=G17+24,Staffing!B6,1)+P79*D18*IF(B79&gt;=G18+24,Staffing!B6,1))/12</f>
        <v>285000</v>
      </c>
      <c r="S79" s="52">
        <f t="shared" si="5"/>
        <v>52</v>
      </c>
    </row>
    <row r="80" spans="1:19" x14ac:dyDescent="0.25">
      <c r="A80" s="51">
        <v>59</v>
      </c>
      <c r="B80" s="52">
        <f t="shared" si="3"/>
        <v>58</v>
      </c>
      <c r="C80" s="52">
        <f>IF(B80&lt;G6,0,IF(MIN(H6,(E6+MAX(0,B80-G6)/12*F6))&gt;0,CEILING(MIN(H6,(E6+MAX(0,B80-G6)/12*F6)),1),0))</f>
        <v>3</v>
      </c>
      <c r="D80" s="52">
        <f>IF(B80&lt;G7,0,IF(MIN(H7,(E7+MAX(0,B80-G7)/12*F7))&gt;0,CEILING(MIN(H7,(E7+MAX(0,B80-G7)/12*F7)),1),0))</f>
        <v>4</v>
      </c>
      <c r="E80" s="52">
        <f>IF(B80&lt;G8,0,IF(MIN(H8,(E8+MAX(0,B80-G8)/12*F8))&gt;0,CEILING(MIN(H8,(E8+MAX(0,B80-G8)/12*F8)),1),0))</f>
        <v>3</v>
      </c>
      <c r="F80" s="52">
        <f>IF(B80&lt;G9,0,IF(MIN(H9,('Proforma (monthly)'!C64/E9))&gt;0,CEILING(MIN(H9,('Proforma (monthly)'!C64/E9)),1),0))</f>
        <v>2</v>
      </c>
      <c r="G80" s="52">
        <f>IF(B80&lt;G10,0,IF(MIN(H10,('Proforma (monthly)'!E64/E10))&gt;0,CEILING(MIN(H10,('Proforma (monthly)'!E64/E10)),1),0))</f>
        <v>3</v>
      </c>
      <c r="H80" s="52">
        <f>IF(B80&lt;G11,0,IF(MIN(H11,('Proforma (monthly)'!E64/E11))&gt;0,CEILING(MIN(H11,('Proforma (monthly)'!E64/E11)),1),0))</f>
        <v>6</v>
      </c>
      <c r="I80" s="52">
        <f>IF(B80&lt;G12,0,IF(MIN(H12,('Proforma (monthly)'!E64/E12))&gt;0,CEILING(MIN(H12,('Proforma (monthly)'!E64/E12)),1),0))</f>
        <v>2</v>
      </c>
      <c r="J80" s="52">
        <f>IF(B80&lt;G13,0,IF(MIN(H13,('Proforma (monthly)'!E64/E13)*CHOOSE(MIN(5,MAX(1,ROUNDUP((A80-'Growth &amp; timing'!B5)/12,0))),$L$3,$M$3,$N$3,$O$3,$P$3))&gt;0,CEILING(MIN(H13,('Proforma (monthly)'!E64/E13)*CHOOSE(MIN(5,MAX(1,ROUNDUP((A80-'Growth &amp; timing'!B5)/12,0))),$L$3,$M$3,$N$3,$O$3,$P$3)),1),0))</f>
        <v>16</v>
      </c>
      <c r="K80" s="52">
        <f>IF(B80&lt;G14,0,IF(MIN(H14,('Proforma (monthly)'!E64/E14))&gt;0,CEILING(MIN(H14,('Proforma (monthly)'!E64/E14)),1),0))</f>
        <v>3</v>
      </c>
      <c r="L80" s="52">
        <f>IF(B80&lt;G15,0,IF(MIN(H15,('Proforma (monthly)'!C64/E15))&gt;0,CEILING(MIN(H15,('Proforma (monthly)'!C64/E15)),1),0))</f>
        <v>4</v>
      </c>
      <c r="M80" s="52">
        <f>IF(B80&lt;G16,0,IF(MIN(H16,(L80/E16))&gt;0,CEILING(MIN(H16,(L80/E16)),1),0))</f>
        <v>2</v>
      </c>
      <c r="N80" s="52">
        <f>IF(B80&lt;G17,0,IF(MIN(H17,(E17+MAX(0,B80-G17)/12*F17))&gt;0,CEILING(MIN(H17,(E17+MAX(0,B80-G17)/12*F17)),1),0))</f>
        <v>3</v>
      </c>
      <c r="O80" s="52">
        <f t="shared" si="4"/>
        <v>51</v>
      </c>
      <c r="P80" s="52">
        <f>IF(B80&lt;G18,0,IF(MIN(H18,(O80/E18))&gt;0,CEILING(MIN(H18,(O80/E18)),1),0))</f>
        <v>2</v>
      </c>
      <c r="Q80" s="14">
        <f>(F80*D9*IF(B80&gt;=G9+24,Staffing!B6,1)+G80*D10*IF(B80&gt;=G10+24,Staffing!B6,1)+H80*D11*IF(B80&gt;=G11+24,Staffing!B6,1)+I80*D12*IF(B80&gt;=G12+24,Staffing!B6,1)+J80*D13*IF(B80&gt;=G13+24,Staffing!B6,1)+K80*D14*IF(B80&gt;=G14+24,Staffing!B6,1))/12</f>
        <v>234300</v>
      </c>
      <c r="R80" s="14">
        <f>(C80*D6*IF(B80&gt;=G6+24,Staffing!B6,1)+D80*D7*IF(B80&gt;=G7+24,Staffing!B6,1)+E80*D8*IF(B80&gt;=G8+24,Staffing!B6,1)+L80*D15*IF(B80&gt;=G15+24,Staffing!B6,1)+M80*D16*IF(B80&gt;=G16+24,Staffing!B6,1)+N80*D17*IF(B80&gt;=G17+24,Staffing!B6,1)+P80*D18*IF(B80&gt;=G18+24,Staffing!B6,1))/12</f>
        <v>299000</v>
      </c>
      <c r="S80" s="52">
        <f t="shared" si="5"/>
        <v>53</v>
      </c>
    </row>
    <row r="81" spans="1:19" x14ac:dyDescent="0.25">
      <c r="A81" s="51">
        <v>60</v>
      </c>
      <c r="B81" s="52">
        <f t="shared" si="3"/>
        <v>59</v>
      </c>
      <c r="C81" s="52">
        <f>IF(B81&lt;G6,0,IF(MIN(H6,(E6+MAX(0,B81-G6)/12*F6))&gt;0,CEILING(MIN(H6,(E6+MAX(0,B81-G6)/12*F6)),1),0))</f>
        <v>3</v>
      </c>
      <c r="D81" s="52">
        <f>IF(B81&lt;G7,0,IF(MIN(H7,(E7+MAX(0,B81-G7)/12*F7))&gt;0,CEILING(MIN(H7,(E7+MAX(0,B81-G7)/12*F7)),1),0))</f>
        <v>4</v>
      </c>
      <c r="E81" s="52">
        <f>IF(B81&lt;G8,0,IF(MIN(H8,(E8+MAX(0,B81-G8)/12*F8))&gt;0,CEILING(MIN(H8,(E8+MAX(0,B81-G8)/12*F8)),1),0))</f>
        <v>3</v>
      </c>
      <c r="F81" s="52">
        <f>IF(B81&lt;G9,0,IF(MIN(H9,('Proforma (monthly)'!C65/E9))&gt;0,CEILING(MIN(H9,('Proforma (monthly)'!C65/E9)),1),0))</f>
        <v>2</v>
      </c>
      <c r="G81" s="52">
        <f>IF(B81&lt;G10,0,IF(MIN(H10,('Proforma (monthly)'!E65/E10))&gt;0,CEILING(MIN(H10,('Proforma (monthly)'!E65/E10)),1),0))</f>
        <v>3</v>
      </c>
      <c r="H81" s="52">
        <f>IF(B81&lt;G11,0,IF(MIN(H11,('Proforma (monthly)'!E65/E11))&gt;0,CEILING(MIN(H11,('Proforma (monthly)'!E65/E11)),1),0))</f>
        <v>7</v>
      </c>
      <c r="I81" s="52">
        <f>IF(B81&lt;G12,0,IF(MIN(H12,('Proforma (monthly)'!E65/E12))&gt;0,CEILING(MIN(H12,('Proforma (monthly)'!E65/E12)),1),0))</f>
        <v>2</v>
      </c>
      <c r="J81" s="52">
        <f>IF(B81&lt;G13,0,IF(MIN(H13,('Proforma (monthly)'!E65/E13)*CHOOSE(MIN(5,MAX(1,ROUNDUP((A81-'Growth &amp; timing'!B5)/12,0))),$L$3,$M$3,$N$3,$O$3,$P$3))&gt;0,CEILING(MIN(H13,('Proforma (monthly)'!E65/E13)*CHOOSE(MIN(5,MAX(1,ROUNDUP((A81-'Growth &amp; timing'!B5)/12,0))),$L$3,$M$3,$N$3,$O$3,$P$3)),1),0))</f>
        <v>18</v>
      </c>
      <c r="K81" s="52">
        <f>IF(B81&lt;G14,0,IF(MIN(H14,('Proforma (monthly)'!E65/E14))&gt;0,CEILING(MIN(H14,('Proforma (monthly)'!E65/E14)),1),0))</f>
        <v>3</v>
      </c>
      <c r="L81" s="52">
        <f>IF(B81&lt;G15,0,IF(MIN(H15,('Proforma (monthly)'!C65/E15))&gt;0,CEILING(MIN(H15,('Proforma (monthly)'!C65/E15)),1),0))</f>
        <v>4</v>
      </c>
      <c r="M81" s="52">
        <f>IF(B81&lt;G16,0,IF(MIN(H16,(L81/E16))&gt;0,CEILING(MIN(H16,(L81/E16)),1),0))</f>
        <v>2</v>
      </c>
      <c r="N81" s="52">
        <f>IF(B81&lt;G17,0,IF(MIN(H17,(E17+MAX(0,B81-G17)/12*F17))&gt;0,CEILING(MIN(H17,(E17+MAX(0,B81-G17)/12*F17)),1),0))</f>
        <v>4</v>
      </c>
      <c r="O81" s="52">
        <f t="shared" si="4"/>
        <v>55</v>
      </c>
      <c r="P81" s="52">
        <f>IF(B81&lt;G18,0,IF(MIN(H18,(O81/E18))&gt;0,CEILING(MIN(H18,(O81/E18)),1),0))</f>
        <v>2</v>
      </c>
      <c r="Q81" s="14">
        <f>(F81*D9*IF(B81&gt;=G9+24,Staffing!B6,1)+G81*D10*IF(B81&gt;=G10+24,Staffing!B6,1)+H81*D11*IF(B81&gt;=G11+24,Staffing!B6,1)+I81*D12*IF(B81&gt;=G12+24,Staffing!B6,1)+J81*D13*IF(B81&gt;=G13+24,Staffing!B6,1)+K81*D14*IF(B81&gt;=G14+24,Staffing!B6,1))/12</f>
        <v>253900</v>
      </c>
      <c r="R81" s="14">
        <f>(C81*D6*IF(B81&gt;=G6+24,Staffing!B6,1)+D81*D7*IF(B81&gt;=G7+24,Staffing!B6,1)+E81*D8*IF(B81&gt;=G8+24,Staffing!B6,1)+L81*D15*IF(B81&gt;=G15+24,Staffing!B6,1)+M81*D16*IF(B81&gt;=G16+24,Staffing!B6,1)+N81*D17*IF(B81&gt;=G17+24,Staffing!B6,1)+P81*D18*IF(B81&gt;=G18+24,Staffing!B6,1))/12</f>
        <v>317000</v>
      </c>
      <c r="S81" s="52">
        <f t="shared" si="5"/>
        <v>57</v>
      </c>
    </row>
    <row r="82" spans="1:19" x14ac:dyDescent="0.25">
      <c r="A82" s="51">
        <v>61</v>
      </c>
      <c r="B82" s="52">
        <f t="shared" si="3"/>
        <v>60</v>
      </c>
      <c r="C82" s="52">
        <f>IF(B82&lt;G6,0,IF(MIN(H6,(E6+MAX(0,B82-G6)/12*F6))&gt;0,CEILING(MIN(H6,(E6+MAX(0,B82-G6)/12*F6)),1),0))</f>
        <v>3</v>
      </c>
      <c r="D82" s="52">
        <f>IF(B82&lt;G7,0,IF(MIN(H7,(E7+MAX(0,B82-G7)/12*F7))&gt;0,CEILING(MIN(H7,(E7+MAX(0,B82-G7)/12*F7)),1),0))</f>
        <v>4</v>
      </c>
      <c r="E82" s="52">
        <f>IF(B82&lt;G8,0,IF(MIN(H8,(E8+MAX(0,B82-G8)/12*F8))&gt;0,CEILING(MIN(H8,(E8+MAX(0,B82-G8)/12*F8)),1),0))</f>
        <v>3</v>
      </c>
      <c r="F82" s="52">
        <f>IF(B82&lt;G9,0,IF(MIN(H9,('Proforma (monthly)'!C66/E9))&gt;0,CEILING(MIN(H9,('Proforma (monthly)'!C66/E9)),1),0))</f>
        <v>2</v>
      </c>
      <c r="G82" s="52">
        <f>IF(B82&lt;G10,0,IF(MIN(H10,('Proforma (monthly)'!E66/E10))&gt;0,CEILING(MIN(H10,('Proforma (monthly)'!E66/E10)),1),0))</f>
        <v>3</v>
      </c>
      <c r="H82" s="52">
        <f>IF(B82&lt;G11,0,IF(MIN(H11,('Proforma (monthly)'!E66/E11))&gt;0,CEILING(MIN(H11,('Proforma (monthly)'!E66/E11)),1),0))</f>
        <v>7</v>
      </c>
      <c r="I82" s="52">
        <f>IF(B82&lt;G12,0,IF(MIN(H12,('Proforma (monthly)'!E66/E12))&gt;0,CEILING(MIN(H12,('Proforma (monthly)'!E66/E12)),1),0))</f>
        <v>2</v>
      </c>
      <c r="J82" s="52">
        <f>IF(B82&lt;G13,0,IF(MIN(H13,('Proforma (monthly)'!E66/E13)*CHOOSE(MIN(5,MAX(1,ROUNDUP((A82-'Growth &amp; timing'!B5)/12,0))),$L$3,$M$3,$N$3,$O$3,$P$3))&gt;0,CEILING(MIN(H13,('Proforma (monthly)'!E66/E13)*CHOOSE(MIN(5,MAX(1,ROUNDUP((A82-'Growth &amp; timing'!B5)/12,0))),$L$3,$M$3,$N$3,$O$3,$P$3)),1),0))</f>
        <v>19</v>
      </c>
      <c r="K82" s="52">
        <f>IF(B82&lt;G14,0,IF(MIN(H14,('Proforma (monthly)'!E66/E14))&gt;0,CEILING(MIN(H14,('Proforma (monthly)'!E66/E14)),1),0))</f>
        <v>3</v>
      </c>
      <c r="L82" s="52">
        <f>IF(B82&lt;G15,0,IF(MIN(H15,('Proforma (monthly)'!C66/E15))&gt;0,CEILING(MIN(H15,('Proforma (monthly)'!C66/E15)),1),0))</f>
        <v>4</v>
      </c>
      <c r="M82" s="52">
        <f>IF(B82&lt;G16,0,IF(MIN(H16,(L82/E16))&gt;0,CEILING(MIN(H16,(L82/E16)),1),0))</f>
        <v>2</v>
      </c>
      <c r="N82" s="52">
        <f>IF(B82&lt;G17,0,IF(MIN(H17,(E17+MAX(0,B82-G17)/12*F17))&gt;0,CEILING(MIN(H17,(E17+MAX(0,B82-G17)/12*F17)),1),0))</f>
        <v>4</v>
      </c>
      <c r="O82" s="52">
        <f t="shared" si="4"/>
        <v>56</v>
      </c>
      <c r="P82" s="52">
        <f>IF(B82&lt;G18,0,IF(MIN(H18,(O82/E18))&gt;0,CEILING(MIN(H18,(O82/E18)),1),0))</f>
        <v>2</v>
      </c>
      <c r="Q82" s="14">
        <f>(F82*D9*IF(B82&gt;=G9+24,Staffing!B6,1)+G82*D10*IF(B82&gt;=G10+24,Staffing!B6,1)+H82*D11*IF(B82&gt;=G11+24,Staffing!B6,1)+I82*D12*IF(B82&gt;=G12+24,Staffing!B6,1)+J82*D13*IF(B82&gt;=G13+24,Staffing!B6,1)+K82*D14*IF(B82&gt;=G14+24,Staffing!B6,1))/12</f>
        <v>260700</v>
      </c>
      <c r="R82" s="14">
        <f>(C82*D6*IF(B82&gt;=G6+24,Staffing!B6,1)+D82*D7*IF(B82&gt;=G7+24,Staffing!B6,1)+E82*D8*IF(B82&gt;=G8+24,Staffing!B6,1)+L82*D15*IF(B82&gt;=G15+24,Staffing!B6,1)+M82*D16*IF(B82&gt;=G16+24,Staffing!B6,1)+N82*D17*IF(B82&gt;=G17+24,Staffing!B6,1)+P82*D18*IF(B82&gt;=G18+24,Staffing!B6,1))/12</f>
        <v>317000</v>
      </c>
      <c r="S82" s="52">
        <f t="shared" si="5"/>
        <v>58</v>
      </c>
    </row>
    <row r="83" spans="1:19" x14ac:dyDescent="0.25">
      <c r="A83" s="51">
        <v>62</v>
      </c>
      <c r="B83" s="52">
        <f t="shared" si="3"/>
        <v>61</v>
      </c>
      <c r="C83" s="52">
        <f>IF(B83&lt;G6,0,IF(MIN(H6,(E6+MAX(0,B83-G6)/12*F6))&gt;0,CEILING(MIN(H6,(E6+MAX(0,B83-G6)/12*F6)),1),0))</f>
        <v>3</v>
      </c>
      <c r="D83" s="52">
        <f>IF(B83&lt;G7,0,IF(MIN(H7,(E7+MAX(0,B83-G7)/12*F7))&gt;0,CEILING(MIN(H7,(E7+MAX(0,B83-G7)/12*F7)),1),0))</f>
        <v>4</v>
      </c>
      <c r="E83" s="52">
        <f>IF(B83&lt;G8,0,IF(MIN(H8,(E8+MAX(0,B83-G8)/12*F8))&gt;0,CEILING(MIN(H8,(E8+MAX(0,B83-G8)/12*F8)),1),0))</f>
        <v>3</v>
      </c>
      <c r="F83" s="52">
        <f>IF(B83&lt;G9,0,IF(MIN(H9,('Proforma (monthly)'!C67/E9))&gt;0,CEILING(MIN(H9,('Proforma (monthly)'!C67/E9)),1),0))</f>
        <v>2</v>
      </c>
      <c r="G83" s="52">
        <f>IF(B83&lt;G10,0,IF(MIN(H10,('Proforma (monthly)'!E67/E10))&gt;0,CEILING(MIN(H10,('Proforma (monthly)'!E67/E10)),1),0))</f>
        <v>3</v>
      </c>
      <c r="H83" s="52">
        <f>IF(B83&lt;G11,0,IF(MIN(H11,('Proforma (monthly)'!E67/E11))&gt;0,CEILING(MIN(H11,('Proforma (monthly)'!E67/E11)),1),0))</f>
        <v>7</v>
      </c>
      <c r="I83" s="52">
        <f>IF(B83&lt;G12,0,IF(MIN(H12,('Proforma (monthly)'!E67/E12))&gt;0,CEILING(MIN(H12,('Proforma (monthly)'!E67/E12)),1),0))</f>
        <v>3</v>
      </c>
      <c r="J83" s="52">
        <f>IF(B83&lt;G13,0,IF(MIN(H13,('Proforma (monthly)'!E67/E13)*CHOOSE(MIN(5,MAX(1,ROUNDUP((A83-'Growth &amp; timing'!B5)/12,0))),$L$3,$M$3,$N$3,$O$3,$P$3))&gt;0,CEILING(MIN(H13,('Proforma (monthly)'!E67/E13)*CHOOSE(MIN(5,MAX(1,ROUNDUP((A83-'Growth &amp; timing'!B5)/12,0))),$L$3,$M$3,$N$3,$O$3,$P$3)),1),0))</f>
        <v>20</v>
      </c>
      <c r="K83" s="52">
        <f>IF(B83&lt;G14,0,IF(MIN(H14,('Proforma (monthly)'!E67/E14))&gt;0,CEILING(MIN(H14,('Proforma (monthly)'!E67/E14)),1),0))</f>
        <v>3</v>
      </c>
      <c r="L83" s="52">
        <f>IF(B83&lt;G15,0,IF(MIN(H15,('Proforma (monthly)'!C67/E15))&gt;0,CEILING(MIN(H15,('Proforma (monthly)'!C67/E15)),1),0))</f>
        <v>4</v>
      </c>
      <c r="M83" s="52">
        <f>IF(B83&lt;G16,0,IF(MIN(H16,(L83/E16))&gt;0,CEILING(MIN(H16,(L83/E16)),1),0))</f>
        <v>2</v>
      </c>
      <c r="N83" s="52">
        <f>IF(B83&lt;G17,0,IF(MIN(H17,(E17+MAX(0,B83-G17)/12*F17))&gt;0,CEILING(MIN(H17,(E17+MAX(0,B83-G17)/12*F17)),1),0))</f>
        <v>4</v>
      </c>
      <c r="O83" s="52">
        <f t="shared" si="4"/>
        <v>58</v>
      </c>
      <c r="P83" s="52">
        <f>IF(B83&lt;G18,0,IF(MIN(H18,(O83/E18))&gt;0,CEILING(MIN(H18,(O83/E18)),1),0))</f>
        <v>2</v>
      </c>
      <c r="Q83" s="14">
        <f>(F83*D9*IF(B83&gt;=G9+24,Staffing!B6,1)+G83*D10*IF(B83&gt;=G10+24,Staffing!B6,1)+H83*D11*IF(B83&gt;=G11+24,Staffing!B6,1)+I83*D12*IF(B83&gt;=G12+24,Staffing!B6,1)+J83*D13*IF(B83&gt;=G13+24,Staffing!B6,1)+K83*D14*IF(B83&gt;=G14+24,Staffing!B6,1))/12</f>
        <v>277000</v>
      </c>
      <c r="R83" s="14">
        <f>(C83*D6*IF(B83&gt;=G6+24,Staffing!B6,1)+D83*D7*IF(B83&gt;=G7+24,Staffing!B6,1)+E83*D8*IF(B83&gt;=G8+24,Staffing!B6,1)+L83*D15*IF(B83&gt;=G15+24,Staffing!B6,1)+M83*D16*IF(B83&gt;=G16+24,Staffing!B6,1)+N83*D17*IF(B83&gt;=G17+24,Staffing!B6,1)+P83*D18*IF(B83&gt;=G18+24,Staffing!B6,1))/12</f>
        <v>317000</v>
      </c>
      <c r="S83" s="52">
        <f t="shared" si="5"/>
        <v>60</v>
      </c>
    </row>
    <row r="84" spans="1:19" x14ac:dyDescent="0.25">
      <c r="A84" s="51">
        <v>63</v>
      </c>
      <c r="B84" s="52">
        <f t="shared" si="3"/>
        <v>62</v>
      </c>
      <c r="C84" s="52">
        <f>IF(B84&lt;G6,0,IF(MIN(H6,(E6+MAX(0,B84-G6)/12*F6))&gt;0,CEILING(MIN(H6,(E6+MAX(0,B84-G6)/12*F6)),1),0))</f>
        <v>3</v>
      </c>
      <c r="D84" s="52">
        <f>IF(B84&lt;G7,0,IF(MIN(H7,(E7+MAX(0,B84-G7)/12*F7))&gt;0,CEILING(MIN(H7,(E7+MAX(0,B84-G7)/12*F7)),1),0))</f>
        <v>4</v>
      </c>
      <c r="E84" s="52">
        <f>IF(B84&lt;G8,0,IF(MIN(H8,(E8+MAX(0,B84-G8)/12*F8))&gt;0,CEILING(MIN(H8,(E8+MAX(0,B84-G8)/12*F8)),1),0))</f>
        <v>3</v>
      </c>
      <c r="F84" s="52">
        <f>IF(B84&lt;G9,0,IF(MIN(H9,('Proforma (monthly)'!C68/E9))&gt;0,CEILING(MIN(H9,('Proforma (monthly)'!C68/E9)),1),0))</f>
        <v>2</v>
      </c>
      <c r="G84" s="52">
        <f>IF(B84&lt;G10,0,IF(MIN(H10,('Proforma (monthly)'!E68/E10))&gt;0,CEILING(MIN(H10,('Proforma (monthly)'!E68/E10)),1),0))</f>
        <v>3</v>
      </c>
      <c r="H84" s="52">
        <f>IF(B84&lt;G11,0,IF(MIN(H11,('Proforma (monthly)'!E68/E11))&gt;0,CEILING(MIN(H11,('Proforma (monthly)'!E68/E11)),1),0))</f>
        <v>8</v>
      </c>
      <c r="I84" s="52">
        <f>IF(B84&lt;G12,0,IF(MIN(H12,('Proforma (monthly)'!E68/E12))&gt;0,CEILING(MIN(H12,('Proforma (monthly)'!E68/E12)),1),0))</f>
        <v>3</v>
      </c>
      <c r="J84" s="52">
        <f>IF(B84&lt;G13,0,IF(MIN(H13,('Proforma (monthly)'!E68/E13)*CHOOSE(MIN(5,MAX(1,ROUNDUP((A84-'Growth &amp; timing'!B5)/12,0))),$L$3,$M$3,$N$3,$O$3,$P$3))&gt;0,CEILING(MIN(H13,('Proforma (monthly)'!E68/E13)*CHOOSE(MIN(5,MAX(1,ROUNDUP((A84-'Growth &amp; timing'!B5)/12,0))),$L$3,$M$3,$N$3,$O$3,$P$3)),1),0))</f>
        <v>22</v>
      </c>
      <c r="K84" s="52">
        <f>IF(B84&lt;G14,0,IF(MIN(H14,('Proforma (monthly)'!E68/E14))&gt;0,CEILING(MIN(H14,('Proforma (monthly)'!E68/E14)),1),0))</f>
        <v>3</v>
      </c>
      <c r="L84" s="52">
        <f>IF(B84&lt;G15,0,IF(MIN(H15,('Proforma (monthly)'!C68/E15))&gt;0,CEILING(MIN(H15,('Proforma (monthly)'!C68/E15)),1),0))</f>
        <v>5</v>
      </c>
      <c r="M84" s="52">
        <f>IF(B84&lt;G16,0,IF(MIN(H16,(L84/E16))&gt;0,CEILING(MIN(H16,(L84/E16)),1),0))</f>
        <v>3</v>
      </c>
      <c r="N84" s="52">
        <f>IF(B84&lt;G17,0,IF(MIN(H17,(E17+MAX(0,B84-G17)/12*F17))&gt;0,CEILING(MIN(H17,(E17+MAX(0,B84-G17)/12*F17)),1),0))</f>
        <v>4</v>
      </c>
      <c r="O84" s="52">
        <f t="shared" si="4"/>
        <v>63</v>
      </c>
      <c r="P84" s="52">
        <f>IF(B84&lt;G18,0,IF(MIN(H18,(O84/E18))&gt;0,CEILING(MIN(H18,(O84/E18)),1),0))</f>
        <v>2</v>
      </c>
      <c r="Q84" s="14">
        <f>(F84*D9*IF(B84&gt;=G9+24,Staffing!B6,1)+G84*D10*IF(B84&gt;=G10+24,Staffing!B6,1)+H84*D11*IF(B84&gt;=G11+24,Staffing!B6,1)+I84*D12*IF(B84&gt;=G12+24,Staffing!B6,1)+J84*D13*IF(B84&gt;=G13+24,Staffing!B6,1)+K84*D14*IF(B84&gt;=G14+24,Staffing!B6,1))/12</f>
        <v>296600</v>
      </c>
      <c r="R84" s="14">
        <f>(C84*D6*IF(B84&gt;=G6+24,Staffing!B6,1)+D84*D7*IF(B84&gt;=G7+24,Staffing!B6,1)+E84*D8*IF(B84&gt;=G8+24,Staffing!B6,1)+L84*D15*IF(B84&gt;=G15+24,Staffing!B6,1)+M84*D16*IF(B84&gt;=G16+24,Staffing!B6,1)+N84*D17*IF(B84&gt;=G17+24,Staffing!B6,1)+P84*D18*IF(B84&gt;=G18+24,Staffing!B6,1))/12</f>
        <v>338000</v>
      </c>
      <c r="S84" s="52">
        <f t="shared" si="5"/>
        <v>65</v>
      </c>
    </row>
    <row r="85" spans="1:19" x14ac:dyDescent="0.25">
      <c r="A85" s="51">
        <v>64</v>
      </c>
      <c r="B85" s="52">
        <f t="shared" si="3"/>
        <v>63</v>
      </c>
      <c r="C85" s="52">
        <f>IF(B85&lt;G6,0,IF(MIN(H6,(E6+MAX(0,B85-G6)/12*F6))&gt;0,CEILING(MIN(H6,(E6+MAX(0,B85-G6)/12*F6)),1),0))</f>
        <v>3</v>
      </c>
      <c r="D85" s="52">
        <f>IF(B85&lt;G7,0,IF(MIN(H7,(E7+MAX(0,B85-G7)/12*F7))&gt;0,CEILING(MIN(H7,(E7+MAX(0,B85-G7)/12*F7)),1),0))</f>
        <v>4</v>
      </c>
      <c r="E85" s="52">
        <f>IF(B85&lt;G8,0,IF(MIN(H8,(E8+MAX(0,B85-G8)/12*F8))&gt;0,CEILING(MIN(H8,(E8+MAX(0,B85-G8)/12*F8)),1),0))</f>
        <v>3</v>
      </c>
      <c r="F85" s="52">
        <f>IF(B85&lt;G9,0,IF(MIN(H9,('Proforma (monthly)'!C69/E9))&gt;0,CEILING(MIN(H9,('Proforma (monthly)'!C69/E9)),1),0))</f>
        <v>2</v>
      </c>
      <c r="G85" s="52">
        <f>IF(B85&lt;G10,0,IF(MIN(H10,('Proforma (monthly)'!E69/E10))&gt;0,CEILING(MIN(H10,('Proforma (monthly)'!E69/E10)),1),0))</f>
        <v>4</v>
      </c>
      <c r="H85" s="52">
        <f>IF(B85&lt;G11,0,IF(MIN(H11,('Proforma (monthly)'!E69/E11))&gt;0,CEILING(MIN(H11,('Proforma (monthly)'!E69/E11)),1),0))</f>
        <v>9</v>
      </c>
      <c r="I85" s="52">
        <f>IF(B85&lt;G12,0,IF(MIN(H12,('Proforma (monthly)'!E69/E12))&gt;0,CEILING(MIN(H12,('Proforma (monthly)'!E69/E12)),1),0))</f>
        <v>3</v>
      </c>
      <c r="J85" s="52">
        <f>IF(B85&lt;G13,0,IF(MIN(H13,('Proforma (monthly)'!E69/E13)*CHOOSE(MIN(5,MAX(1,ROUNDUP((A85-'Growth &amp; timing'!B5)/12,0))),$L$3,$M$3,$N$3,$O$3,$P$3))&gt;0,CEILING(MIN(H13,('Proforma (monthly)'!E69/E13)*CHOOSE(MIN(5,MAX(1,ROUNDUP((A85-'Growth &amp; timing'!B5)/12,0))),$L$3,$M$3,$N$3,$O$3,$P$3)),1),0))</f>
        <v>23</v>
      </c>
      <c r="K85" s="52">
        <f>IF(B85&lt;G14,0,IF(MIN(H14,('Proforma (monthly)'!E69/E14))&gt;0,CEILING(MIN(H14,('Proforma (monthly)'!E69/E14)),1),0))</f>
        <v>4</v>
      </c>
      <c r="L85" s="52">
        <f>IF(B85&lt;G15,0,IF(MIN(H15,('Proforma (monthly)'!C69/E15))&gt;0,CEILING(MIN(H15,('Proforma (monthly)'!C69/E15)),1),0))</f>
        <v>5</v>
      </c>
      <c r="M85" s="52">
        <f>IF(B85&lt;G16,0,IF(MIN(H16,(L85/E16))&gt;0,CEILING(MIN(H16,(L85/E16)),1),0))</f>
        <v>3</v>
      </c>
      <c r="N85" s="52">
        <f>IF(B85&lt;G17,0,IF(MIN(H17,(E17+MAX(0,B85-G17)/12*F17))&gt;0,CEILING(MIN(H17,(E17+MAX(0,B85-G17)/12*F17)),1),0))</f>
        <v>4</v>
      </c>
      <c r="O85" s="52">
        <f t="shared" si="4"/>
        <v>67</v>
      </c>
      <c r="P85" s="52">
        <f>IF(B85&lt;G18,0,IF(MIN(H18,(O85/E18))&gt;0,CEILING(MIN(H18,(O85/E18)),1),0))</f>
        <v>2</v>
      </c>
      <c r="Q85" s="14">
        <f>(F85*D9*IF(B85&gt;=G9+24,Staffing!B6,1)+G85*D10*IF(B85&gt;=G10+24,Staffing!B6,1)+H85*D11*IF(B85&gt;=G11+24,Staffing!B6,1)+I85*D12*IF(B85&gt;=G12+24,Staffing!B6,1)+J85*D13*IF(B85&gt;=G13+24,Staffing!B6,1)+K85*D14*IF(B85&gt;=G14+24,Staffing!B6,1))/12</f>
        <v>326900</v>
      </c>
      <c r="R85" s="14">
        <f>(C85*D6*IF(B85&gt;=G6+24,Staffing!B6,1)+D85*D7*IF(B85&gt;=G7+24,Staffing!B6,1)+E85*D8*IF(B85&gt;=G8+24,Staffing!B6,1)+L85*D15*IF(B85&gt;=G15+24,Staffing!B6,1)+M85*D16*IF(B85&gt;=G16+24,Staffing!B6,1)+N85*D17*IF(B85&gt;=G17+24,Staffing!B6,1)+P85*D18*IF(B85&gt;=G18+24,Staffing!B6,1))/12</f>
        <v>338000</v>
      </c>
      <c r="S85" s="52">
        <f t="shared" si="5"/>
        <v>69</v>
      </c>
    </row>
    <row r="86" spans="1:19" x14ac:dyDescent="0.25">
      <c r="A86" s="51">
        <v>65</v>
      </c>
      <c r="B86" s="52">
        <f t="shared" ref="B86:B117" si="6">A86-1</f>
        <v>64</v>
      </c>
      <c r="C86" s="52">
        <f>IF(B86&lt;G6,0,IF(MIN(H6,(E6+MAX(0,B86-G6)/12*F6))&gt;0,CEILING(MIN(H6,(E6+MAX(0,B86-G6)/12*F6)),1),0))</f>
        <v>3</v>
      </c>
      <c r="D86" s="52">
        <f>IF(B86&lt;G7,0,IF(MIN(H7,(E7+MAX(0,B86-G7)/12*F7))&gt;0,CEILING(MIN(H7,(E7+MAX(0,B86-G7)/12*F7)),1),0))</f>
        <v>4</v>
      </c>
      <c r="E86" s="52">
        <f>IF(B86&lt;G8,0,IF(MIN(H8,(E8+MAX(0,B86-G8)/12*F8))&gt;0,CEILING(MIN(H8,(E8+MAX(0,B86-G8)/12*F8)),1),0))</f>
        <v>3</v>
      </c>
      <c r="F86" s="52">
        <f>IF(B86&lt;G9,0,IF(MIN(H9,('Proforma (monthly)'!C70/E9))&gt;0,CEILING(MIN(H9,('Proforma (monthly)'!C70/E9)),1),0))</f>
        <v>2</v>
      </c>
      <c r="G86" s="52">
        <f>IF(B86&lt;G10,0,IF(MIN(H10,('Proforma (monthly)'!E70/E10))&gt;0,CEILING(MIN(H10,('Proforma (monthly)'!E70/E10)),1),0))</f>
        <v>4</v>
      </c>
      <c r="H86" s="52">
        <f>IF(B86&lt;G11,0,IF(MIN(H11,('Proforma (monthly)'!E70/E11))&gt;0,CEILING(MIN(H11,('Proforma (monthly)'!E70/E11)),1),0))</f>
        <v>9</v>
      </c>
      <c r="I86" s="52">
        <f>IF(B86&lt;G12,0,IF(MIN(H12,('Proforma (monthly)'!E70/E12))&gt;0,CEILING(MIN(H12,('Proforma (monthly)'!E70/E12)),1),0))</f>
        <v>3</v>
      </c>
      <c r="J86" s="52">
        <f>IF(B86&lt;G13,0,IF(MIN(H13,('Proforma (monthly)'!E70/E13)*CHOOSE(MIN(5,MAX(1,ROUNDUP((A86-'Growth &amp; timing'!B5)/12,0))),$L$3,$M$3,$N$3,$O$3,$P$3))&gt;0,CEILING(MIN(H13,('Proforma (monthly)'!E70/E13)*CHOOSE(MIN(5,MAX(1,ROUNDUP((A86-'Growth &amp; timing'!B5)/12,0))),$L$3,$M$3,$N$3,$O$3,$P$3)),1),0))</f>
        <v>25</v>
      </c>
      <c r="K86" s="52">
        <f>IF(B86&lt;G14,0,IF(MIN(H14,('Proforma (monthly)'!E70/E14))&gt;0,CEILING(MIN(H14,('Proforma (monthly)'!E70/E14)),1),0))</f>
        <v>4</v>
      </c>
      <c r="L86" s="52">
        <f>IF(B86&lt;G15,0,IF(MIN(H15,('Proforma (monthly)'!C70/E15))&gt;0,CEILING(MIN(H15,('Proforma (monthly)'!C70/E15)),1),0))</f>
        <v>5</v>
      </c>
      <c r="M86" s="52">
        <f>IF(B86&lt;G16,0,IF(MIN(H16,(L86/E16))&gt;0,CEILING(MIN(H16,(L86/E16)),1),0))</f>
        <v>3</v>
      </c>
      <c r="N86" s="52">
        <f>IF(B86&lt;G17,0,IF(MIN(H17,(E17+MAX(0,B86-G17)/12*F17))&gt;0,CEILING(MIN(H17,(E17+MAX(0,B86-G17)/12*F17)),1),0))</f>
        <v>4</v>
      </c>
      <c r="O86" s="52">
        <f t="shared" ref="O86:O117" si="7">SUM(C86:N86)</f>
        <v>69</v>
      </c>
      <c r="P86" s="52">
        <f>IF(B86&lt;G18,0,IF(MIN(H18,(O86/E18))&gt;0,CEILING(MIN(H18,(O86/E18)),1),0))</f>
        <v>2</v>
      </c>
      <c r="Q86" s="14">
        <f>(F86*D9*IF(B86&gt;=G9+24,Staffing!B6,1)+G86*D10*IF(B86&gt;=G10+24,Staffing!B6,1)+H86*D11*IF(B86&gt;=G11+24,Staffing!B6,1)+I86*D12*IF(B86&gt;=G12+24,Staffing!B6,1)+J86*D13*IF(B86&gt;=G13+24,Staffing!B6,1)+K86*D14*IF(B86&gt;=G14+24,Staffing!B6,1))/12</f>
        <v>340500</v>
      </c>
      <c r="R86" s="14">
        <f>(C86*D6*IF(B86&gt;=G6+24,Staffing!B6,1)+D86*D7*IF(B86&gt;=G7+24,Staffing!B6,1)+E86*D8*IF(B86&gt;=G8+24,Staffing!B6,1)+L86*D15*IF(B86&gt;=G15+24,Staffing!B6,1)+M86*D16*IF(B86&gt;=G16+24,Staffing!B6,1)+N86*D17*IF(B86&gt;=G17+24,Staffing!B6,1)+P86*D18*IF(B86&gt;=G18+24,Staffing!B6,1))/12</f>
        <v>338000</v>
      </c>
      <c r="S86" s="52">
        <f t="shared" ref="S86:S93" si="8">O86+P86</f>
        <v>71</v>
      </c>
    </row>
    <row r="87" spans="1:19" x14ac:dyDescent="0.25">
      <c r="A87" s="51">
        <v>66</v>
      </c>
      <c r="B87" s="52">
        <f t="shared" si="6"/>
        <v>65</v>
      </c>
      <c r="C87" s="52">
        <f>IF(B87&lt;G6,0,IF(MIN(H6,(E6+MAX(0,B87-G6)/12*F6))&gt;0,CEILING(MIN(H6,(E6+MAX(0,B87-G6)/12*F6)),1),0))</f>
        <v>3</v>
      </c>
      <c r="D87" s="52">
        <f>IF(B87&lt;G7,0,IF(MIN(H7,(E7+MAX(0,B87-G7)/12*F7))&gt;0,CEILING(MIN(H7,(E7+MAX(0,B87-G7)/12*F7)),1),0))</f>
        <v>4</v>
      </c>
      <c r="E87" s="52">
        <f>IF(B87&lt;G8,0,IF(MIN(H8,(E8+MAX(0,B87-G8)/12*F8))&gt;0,CEILING(MIN(H8,(E8+MAX(0,B87-G8)/12*F8)),1),0))</f>
        <v>3</v>
      </c>
      <c r="F87" s="52">
        <f>IF(B87&lt;G9,0,IF(MIN(H9,('Proforma (monthly)'!C71/E9))&gt;0,CEILING(MIN(H9,('Proforma (monthly)'!C71/E9)),1),0))</f>
        <v>2</v>
      </c>
      <c r="G87" s="52">
        <f>IF(B87&lt;G10,0,IF(MIN(H10,('Proforma (monthly)'!E71/E10))&gt;0,CEILING(MIN(H10,('Proforma (monthly)'!E71/E10)),1),0))</f>
        <v>4</v>
      </c>
      <c r="H87" s="52">
        <f>IF(B87&lt;G11,0,IF(MIN(H11,('Proforma (monthly)'!E71/E11))&gt;0,CEILING(MIN(H11,('Proforma (monthly)'!E71/E11)),1),0))</f>
        <v>10</v>
      </c>
      <c r="I87" s="52">
        <f>IF(B87&lt;G12,0,IF(MIN(H12,('Proforma (monthly)'!E71/E12))&gt;0,CEILING(MIN(H12,('Proforma (monthly)'!E71/E12)),1),0))</f>
        <v>3</v>
      </c>
      <c r="J87" s="52">
        <f>IF(B87&lt;G13,0,IF(MIN(H13,('Proforma (monthly)'!E71/E13)*CHOOSE(MIN(5,MAX(1,ROUNDUP((A87-'Growth &amp; timing'!B5)/12,0))),$L$3,$M$3,$N$3,$O$3,$P$3))&gt;0,CEILING(MIN(H13,('Proforma (monthly)'!E71/E13)*CHOOSE(MIN(5,MAX(1,ROUNDUP((A87-'Growth &amp; timing'!B5)/12,0))),$L$3,$M$3,$N$3,$O$3,$P$3)),1),0))</f>
        <v>27</v>
      </c>
      <c r="K87" s="52">
        <f>IF(B87&lt;G14,0,IF(MIN(H14,('Proforma (monthly)'!E71/E14))&gt;0,CEILING(MIN(H14,('Proforma (monthly)'!E71/E14)),1),0))</f>
        <v>4</v>
      </c>
      <c r="L87" s="52">
        <f>IF(B87&lt;G15,0,IF(MIN(H15,('Proforma (monthly)'!C71/E15))&gt;0,CEILING(MIN(H15,('Proforma (monthly)'!C71/E15)),1),0))</f>
        <v>6</v>
      </c>
      <c r="M87" s="52">
        <f>IF(B87&lt;G16,0,IF(MIN(H16,(L87/E16))&gt;0,CEILING(MIN(H16,(L87/E16)),1),0))</f>
        <v>3</v>
      </c>
      <c r="N87" s="52">
        <f>IF(B87&lt;G17,0,IF(MIN(H17,(E17+MAX(0,B87-G17)/12*F17))&gt;0,CEILING(MIN(H17,(E17+MAX(0,B87-G17)/12*F17)),1),0))</f>
        <v>4</v>
      </c>
      <c r="O87" s="52">
        <f t="shared" si="7"/>
        <v>73</v>
      </c>
      <c r="P87" s="52">
        <f>IF(B87&lt;G18,0,IF(MIN(H18,(O87/E18))&gt;0,CEILING(MIN(H18,(O87/E18)),1),0))</f>
        <v>3</v>
      </c>
      <c r="Q87" s="14">
        <f>(F87*D9*IF(B87&gt;=G9+24,Staffing!B6,1)+G87*D10*IF(B87&gt;=G10+24,Staffing!B6,1)+H87*D11*IF(B87&gt;=G11+24,Staffing!B6,1)+I87*D12*IF(B87&gt;=G12+24,Staffing!B6,1)+J87*D13*IF(B87&gt;=G13+24,Staffing!B6,1)+K87*D14*IF(B87&gt;=G14+24,Staffing!B6,1))/12</f>
        <v>360100</v>
      </c>
      <c r="R87" s="14">
        <f>(C87*D6*IF(B87&gt;=G6+24,Staffing!B6,1)+D87*D7*IF(B87&gt;=G7+24,Staffing!B6,1)+E87*D8*IF(B87&gt;=G8+24,Staffing!B6,1)+L87*D15*IF(B87&gt;=G15+24,Staffing!B6,1)+M87*D16*IF(B87&gt;=G16+24,Staffing!B6,1)+N87*D17*IF(B87&gt;=G17+24,Staffing!B6,1)+P87*D18*IF(B87&gt;=G18+24,Staffing!B6,1))/12</f>
        <v>363000</v>
      </c>
      <c r="S87" s="52">
        <f t="shared" si="8"/>
        <v>76</v>
      </c>
    </row>
    <row r="88" spans="1:19" x14ac:dyDescent="0.25">
      <c r="A88" s="51">
        <v>67</v>
      </c>
      <c r="B88" s="52">
        <f t="shared" si="6"/>
        <v>66</v>
      </c>
      <c r="C88" s="52">
        <f>IF(B88&lt;G6,0,IF(MIN(H6,(E6+MAX(0,B88-G6)/12*F6))&gt;0,CEILING(MIN(H6,(E6+MAX(0,B88-G6)/12*F6)),1),0))</f>
        <v>3</v>
      </c>
      <c r="D88" s="52">
        <f>IF(B88&lt;G7,0,IF(MIN(H7,(E7+MAX(0,B88-G7)/12*F7))&gt;0,CEILING(MIN(H7,(E7+MAX(0,B88-G7)/12*F7)),1),0))</f>
        <v>4</v>
      </c>
      <c r="E88" s="52">
        <f>IF(B88&lt;G8,0,IF(MIN(H8,(E8+MAX(0,B88-G8)/12*F8))&gt;0,CEILING(MIN(H8,(E8+MAX(0,B88-G8)/12*F8)),1),0))</f>
        <v>3</v>
      </c>
      <c r="F88" s="52">
        <f>IF(B88&lt;G9,0,IF(MIN(H9,('Proforma (monthly)'!C72/E9))&gt;0,CEILING(MIN(H9,('Proforma (monthly)'!C72/E9)),1),0))</f>
        <v>3</v>
      </c>
      <c r="G88" s="52">
        <f>IF(B88&lt;G10,0,IF(MIN(H10,('Proforma (monthly)'!E72/E10))&gt;0,CEILING(MIN(H10,('Proforma (monthly)'!E72/E10)),1),0))</f>
        <v>5</v>
      </c>
      <c r="H88" s="52">
        <f>IF(B88&lt;G11,0,IF(MIN(H11,('Proforma (monthly)'!E72/E11))&gt;0,CEILING(MIN(H11,('Proforma (monthly)'!E72/E11)),1),0))</f>
        <v>11</v>
      </c>
      <c r="I88" s="52">
        <f>IF(B88&lt;G12,0,IF(MIN(H12,('Proforma (monthly)'!E72/E12))&gt;0,CEILING(MIN(H12,('Proforma (monthly)'!E72/E12)),1),0))</f>
        <v>4</v>
      </c>
      <c r="J88" s="52">
        <f>IF(B88&lt;G13,0,IF(MIN(H13,('Proforma (monthly)'!E72/E13)*CHOOSE(MIN(5,MAX(1,ROUNDUP((A88-'Growth &amp; timing'!B5)/12,0))),$L$3,$M$3,$N$3,$O$3,$P$3))&gt;0,CEILING(MIN(H13,('Proforma (monthly)'!E72/E13)*CHOOSE(MIN(5,MAX(1,ROUNDUP((A88-'Growth &amp; timing'!B5)/12,0))),$L$3,$M$3,$N$3,$O$3,$P$3)),1),0))</f>
        <v>29</v>
      </c>
      <c r="K88" s="52">
        <f>IF(B88&lt;G14,0,IF(MIN(H14,('Proforma (monthly)'!E72/E14))&gt;0,CEILING(MIN(H14,('Proforma (monthly)'!E72/E14)),1),0))</f>
        <v>5</v>
      </c>
      <c r="L88" s="52">
        <f>IF(B88&lt;G15,0,IF(MIN(H15,('Proforma (monthly)'!C72/E15))&gt;0,CEILING(MIN(H15,('Proforma (monthly)'!C72/E15)),1),0))</f>
        <v>6</v>
      </c>
      <c r="M88" s="52">
        <f>IF(B88&lt;G16,0,IF(MIN(H16,(L88/E16))&gt;0,CEILING(MIN(H16,(L88/E16)),1),0))</f>
        <v>3</v>
      </c>
      <c r="N88" s="52">
        <f>IF(B88&lt;G17,0,IF(MIN(H17,(E17+MAX(0,B88-G17)/12*F17))&gt;0,CEILING(MIN(H17,(E17+MAX(0,B88-G17)/12*F17)),1),0))</f>
        <v>4</v>
      </c>
      <c r="O88" s="52">
        <f t="shared" si="7"/>
        <v>80</v>
      </c>
      <c r="P88" s="52">
        <f>IF(B88&lt;G18,0,IF(MIN(H18,(O88/E18))&gt;0,CEILING(MIN(H18,(O88/E18)),1),0))</f>
        <v>3</v>
      </c>
      <c r="Q88" s="14">
        <f>(F88*D9*IF(B88&gt;=G9+24,Staffing!B6,1)+G88*D10*IF(B88&gt;=G10+24,Staffing!B6,1)+H88*D11*IF(B88&gt;=G11+24,Staffing!B6,1)+I88*D12*IF(B88&gt;=G12+24,Staffing!B6,1)+J88*D13*IF(B88&gt;=G13+24,Staffing!B6,1)+K88*D14*IF(B88&gt;=G14+24,Staffing!B6,1))/12</f>
        <v>415700</v>
      </c>
      <c r="R88" s="14">
        <f>(C88*D6*IF(B88&gt;=G6+24,Staffing!B6,1)+D88*D7*IF(B88&gt;=G7+24,Staffing!B6,1)+E88*D8*IF(B88&gt;=G8+24,Staffing!B6,1)+L88*D15*IF(B88&gt;=G15+24,Staffing!B6,1)+M88*D16*IF(B88&gt;=G16+24,Staffing!B6,1)+N88*D17*IF(B88&gt;=G17+24,Staffing!B6,1)+P88*D18*IF(B88&gt;=G18+24,Staffing!B6,1))/12</f>
        <v>363000</v>
      </c>
      <c r="S88" s="52">
        <f t="shared" si="8"/>
        <v>83</v>
      </c>
    </row>
    <row r="89" spans="1:19" x14ac:dyDescent="0.25">
      <c r="A89" s="51">
        <v>68</v>
      </c>
      <c r="B89" s="52">
        <f t="shared" si="6"/>
        <v>67</v>
      </c>
      <c r="C89" s="52">
        <f>IF(B89&lt;G6,0,IF(MIN(H6,(E6+MAX(0,B89-G6)/12*F6))&gt;0,CEILING(MIN(H6,(E6+MAX(0,B89-G6)/12*F6)),1),0))</f>
        <v>3</v>
      </c>
      <c r="D89" s="52">
        <f>IF(B89&lt;G7,0,IF(MIN(H7,(E7+MAX(0,B89-G7)/12*F7))&gt;0,CEILING(MIN(H7,(E7+MAX(0,B89-G7)/12*F7)),1),0))</f>
        <v>4</v>
      </c>
      <c r="E89" s="52">
        <f>IF(B89&lt;G8,0,IF(MIN(H8,(E8+MAX(0,B89-G8)/12*F8))&gt;0,CEILING(MIN(H8,(E8+MAX(0,B89-G8)/12*F8)),1),0))</f>
        <v>3</v>
      </c>
      <c r="F89" s="52">
        <f>IF(B89&lt;G9,0,IF(MIN(H9,('Proforma (monthly)'!C73/E9))&gt;0,CEILING(MIN(H9,('Proforma (monthly)'!C73/E9)),1),0))</f>
        <v>3</v>
      </c>
      <c r="G89" s="52">
        <f>IF(B89&lt;G10,0,IF(MIN(H10,('Proforma (monthly)'!E73/E10))&gt;0,CEILING(MIN(H10,('Proforma (monthly)'!E73/E10)),1),0))</f>
        <v>5</v>
      </c>
      <c r="H89" s="52">
        <f>IF(B89&lt;G11,0,IF(MIN(H11,('Proforma (monthly)'!E73/E11))&gt;0,CEILING(MIN(H11,('Proforma (monthly)'!E73/E11)),1),0))</f>
        <v>11</v>
      </c>
      <c r="I89" s="52">
        <f>IF(B89&lt;G12,0,IF(MIN(H12,('Proforma (monthly)'!E73/E12))&gt;0,CEILING(MIN(H12,('Proforma (monthly)'!E73/E12)),1),0))</f>
        <v>4</v>
      </c>
      <c r="J89" s="52">
        <f>IF(B89&lt;G13,0,IF(MIN(H13,('Proforma (monthly)'!E73/E13)*CHOOSE(MIN(5,MAX(1,ROUNDUP((A89-'Growth &amp; timing'!B5)/12,0))),$L$3,$M$3,$N$3,$O$3,$P$3))&gt;0,CEILING(MIN(H13,('Proforma (monthly)'!E73/E13)*CHOOSE(MIN(5,MAX(1,ROUNDUP((A89-'Growth &amp; timing'!B5)/12,0))),$L$3,$M$3,$N$3,$O$3,$P$3)),1),0))</f>
        <v>31</v>
      </c>
      <c r="K89" s="52">
        <f>IF(B89&lt;G14,0,IF(MIN(H14,('Proforma (monthly)'!E73/E14))&gt;0,CEILING(MIN(H14,('Proforma (monthly)'!E73/E14)),1),0))</f>
        <v>5</v>
      </c>
      <c r="L89" s="52">
        <f>IF(B89&lt;G15,0,IF(MIN(H15,('Proforma (monthly)'!C73/E15))&gt;0,CEILING(MIN(H15,('Proforma (monthly)'!C73/E15)),1),0))</f>
        <v>7</v>
      </c>
      <c r="M89" s="52">
        <f>IF(B89&lt;G16,0,IF(MIN(H16,(L89/E16))&gt;0,CEILING(MIN(H16,(L89/E16)),1),0))</f>
        <v>4</v>
      </c>
      <c r="N89" s="52">
        <f>IF(B89&lt;G17,0,IF(MIN(H17,(E17+MAX(0,B89-G17)/12*F17))&gt;0,CEILING(MIN(H17,(E17+MAX(0,B89-G17)/12*F17)),1),0))</f>
        <v>4</v>
      </c>
      <c r="O89" s="52">
        <f t="shared" si="7"/>
        <v>84</v>
      </c>
      <c r="P89" s="52">
        <f>IF(B89&lt;G18,0,IF(MIN(H18,(O89/E18))&gt;0,CEILING(MIN(H18,(O89/E18)),1),0))</f>
        <v>3</v>
      </c>
      <c r="Q89" s="14">
        <f>(F89*D9*IF(B89&gt;=G9+24,Staffing!B6,1)+G89*D10*IF(B89&gt;=G10+24,Staffing!B6,1)+H89*D11*IF(B89&gt;=G11+24,Staffing!B6,1)+I89*D12*IF(B89&gt;=G12+24,Staffing!B6,1)+J89*D13*IF(B89&gt;=G13+24,Staffing!B6,1)+K89*D14*IF(B89&gt;=G14+24,Staffing!B6,1))/12</f>
        <v>429300</v>
      </c>
      <c r="R89" s="14">
        <f>(C89*D6*IF(B89&gt;=G6+24,Staffing!B6,1)+D89*D7*IF(B89&gt;=G7+24,Staffing!B6,1)+E89*D8*IF(B89&gt;=G8+24,Staffing!B6,1)+L89*D15*IF(B89&gt;=G15+24,Staffing!B6,1)+M89*D16*IF(B89&gt;=G16+24,Staffing!B6,1)+N89*D17*IF(B89&gt;=G17+24,Staffing!B6,1)+P89*D18*IF(B89&gt;=G18+24,Staffing!B6,1))/12</f>
        <v>384000</v>
      </c>
      <c r="S89" s="52">
        <f t="shared" si="8"/>
        <v>87</v>
      </c>
    </row>
    <row r="90" spans="1:19" x14ac:dyDescent="0.25">
      <c r="A90" s="51">
        <v>69</v>
      </c>
      <c r="B90" s="52">
        <f t="shared" si="6"/>
        <v>68</v>
      </c>
      <c r="C90" s="52">
        <f>IF(B90&lt;G6,0,IF(MIN(H6,(E6+MAX(0,B90-G6)/12*F6))&gt;0,CEILING(MIN(H6,(E6+MAX(0,B90-G6)/12*F6)),1),0))</f>
        <v>3</v>
      </c>
      <c r="D90" s="52">
        <f>IF(B90&lt;G7,0,IF(MIN(H7,(E7+MAX(0,B90-G7)/12*F7))&gt;0,CEILING(MIN(H7,(E7+MAX(0,B90-G7)/12*F7)),1),0))</f>
        <v>4</v>
      </c>
      <c r="E90" s="52">
        <f>IF(B90&lt;G8,0,IF(MIN(H8,(E8+MAX(0,B90-G8)/12*F8))&gt;0,CEILING(MIN(H8,(E8+MAX(0,B90-G8)/12*F8)),1),0))</f>
        <v>3</v>
      </c>
      <c r="F90" s="52">
        <f>IF(B90&lt;G9,0,IF(MIN(H9,('Proforma (monthly)'!C74/E9))&gt;0,CEILING(MIN(H9,('Proforma (monthly)'!C74/E9)),1),0))</f>
        <v>3</v>
      </c>
      <c r="G90" s="52">
        <f>IF(B90&lt;G10,0,IF(MIN(H10,('Proforma (monthly)'!E74/E10))&gt;0,CEILING(MIN(H10,('Proforma (monthly)'!E74/E10)),1),0))</f>
        <v>5</v>
      </c>
      <c r="H90" s="52">
        <f>IF(B90&lt;G11,0,IF(MIN(H11,('Proforma (monthly)'!E74/E11))&gt;0,CEILING(MIN(H11,('Proforma (monthly)'!E74/E11)),1),0))</f>
        <v>12</v>
      </c>
      <c r="I90" s="52">
        <f>IF(B90&lt;G12,0,IF(MIN(H12,('Proforma (monthly)'!E74/E12))&gt;0,CEILING(MIN(H12,('Proforma (monthly)'!E74/E12)),1),0))</f>
        <v>4</v>
      </c>
      <c r="J90" s="52">
        <f>IF(B90&lt;G13,0,IF(MIN(H13,('Proforma (monthly)'!E74/E13)*CHOOSE(MIN(5,MAX(1,ROUNDUP((A90-'Growth &amp; timing'!B5)/12,0))),$L$3,$M$3,$N$3,$O$3,$P$3))&gt;0,CEILING(MIN(H13,('Proforma (monthly)'!E74/E13)*CHOOSE(MIN(5,MAX(1,ROUNDUP((A90-'Growth &amp; timing'!B5)/12,0))),$L$3,$M$3,$N$3,$O$3,$P$3)),1),0))</f>
        <v>33</v>
      </c>
      <c r="K90" s="52">
        <f>IF(B90&lt;G14,0,IF(MIN(H14,('Proforma (monthly)'!E74/E14))&gt;0,CEILING(MIN(H14,('Proforma (monthly)'!E74/E14)),1),0))</f>
        <v>5</v>
      </c>
      <c r="L90" s="52">
        <f>IF(B90&lt;G15,0,IF(MIN(H15,('Proforma (monthly)'!C74/E15))&gt;0,CEILING(MIN(H15,('Proforma (monthly)'!C74/E15)),1),0))</f>
        <v>7</v>
      </c>
      <c r="M90" s="52">
        <f>IF(B90&lt;G16,0,IF(MIN(H16,(L90/E16))&gt;0,CEILING(MIN(H16,(L90/E16)),1),0))</f>
        <v>4</v>
      </c>
      <c r="N90" s="52">
        <f>IF(B90&lt;G17,0,IF(MIN(H17,(E17+MAX(0,B90-G17)/12*F17))&gt;0,CEILING(MIN(H17,(E17+MAX(0,B90-G17)/12*F17)),1),0))</f>
        <v>4</v>
      </c>
      <c r="O90" s="52">
        <f t="shared" si="7"/>
        <v>87</v>
      </c>
      <c r="P90" s="52">
        <f>IF(B90&lt;G18,0,IF(MIN(H18,(O90/E18))&gt;0,CEILING(MIN(H18,(O90/E18)),1),0))</f>
        <v>3</v>
      </c>
      <c r="Q90" s="14">
        <f>(F90*D9*IF(B90&gt;=G9+24,Staffing!B6,1)+G90*D10*IF(B90&gt;=G10+24,Staffing!B6,1)+H90*D11*IF(B90&gt;=G11+24,Staffing!B6,1)+I90*D12*IF(B90&gt;=G12+24,Staffing!B6,1)+J90*D13*IF(B90&gt;=G13+24,Staffing!B6,1)+K90*D14*IF(B90&gt;=G14+24,Staffing!B6,1))/12</f>
        <v>448900</v>
      </c>
      <c r="R90" s="14">
        <f>(C90*D6*IF(B90&gt;=G6+24,Staffing!B6,1)+D90*D7*IF(B90&gt;=G7+24,Staffing!B6,1)+E90*D8*IF(B90&gt;=G8+24,Staffing!B6,1)+L90*D15*IF(B90&gt;=G15+24,Staffing!B6,1)+M90*D16*IF(B90&gt;=G16+24,Staffing!B6,1)+N90*D17*IF(B90&gt;=G17+24,Staffing!B6,1)+P90*D18*IF(B90&gt;=G18+24,Staffing!B6,1))/12</f>
        <v>384000</v>
      </c>
      <c r="S90" s="52">
        <f t="shared" si="8"/>
        <v>90</v>
      </c>
    </row>
    <row r="91" spans="1:19" x14ac:dyDescent="0.25">
      <c r="A91" s="51">
        <v>70</v>
      </c>
      <c r="B91" s="52">
        <f t="shared" si="6"/>
        <v>69</v>
      </c>
      <c r="C91" s="52">
        <f>IF(B91&lt;G6,0,IF(MIN(H6,(E6+MAX(0,B91-G6)/12*F6))&gt;0,CEILING(MIN(H6,(E6+MAX(0,B91-G6)/12*F6)),1),0))</f>
        <v>3</v>
      </c>
      <c r="D91" s="52">
        <f>IF(B91&lt;G7,0,IF(MIN(H7,(E7+MAX(0,B91-G7)/12*F7))&gt;0,CEILING(MIN(H7,(E7+MAX(0,B91-G7)/12*F7)),1),0))</f>
        <v>4</v>
      </c>
      <c r="E91" s="52">
        <f>IF(B91&lt;G8,0,IF(MIN(H8,(E8+MAX(0,B91-G8)/12*F8))&gt;0,CEILING(MIN(H8,(E8+MAX(0,B91-G8)/12*F8)),1),0))</f>
        <v>3</v>
      </c>
      <c r="F91" s="52">
        <f>IF(B91&lt;G9,0,IF(MIN(H9,('Proforma (monthly)'!C75/E9))&gt;0,CEILING(MIN(H9,('Proforma (monthly)'!C75/E9)),1),0))</f>
        <v>3</v>
      </c>
      <c r="G91" s="52">
        <f>IF(B91&lt;G10,0,IF(MIN(H10,('Proforma (monthly)'!E75/E10))&gt;0,CEILING(MIN(H10,('Proforma (monthly)'!E75/E10)),1),0))</f>
        <v>5</v>
      </c>
      <c r="H91" s="52">
        <f>IF(B91&lt;G11,0,IF(MIN(H11,('Proforma (monthly)'!E75/E11))&gt;0,CEILING(MIN(H11,('Proforma (monthly)'!E75/E11)),1),0))</f>
        <v>13</v>
      </c>
      <c r="I91" s="52">
        <f>IF(B91&lt;G12,0,IF(MIN(H12,('Proforma (monthly)'!E75/E12))&gt;0,CEILING(MIN(H12,('Proforma (monthly)'!E75/E12)),1),0))</f>
        <v>4</v>
      </c>
      <c r="J91" s="52">
        <f>IF(B91&lt;G13,0,IF(MIN(H13,('Proforma (monthly)'!E75/E13)*CHOOSE(MIN(5,MAX(1,ROUNDUP((A91-'Growth &amp; timing'!B5)/12,0))),$L$3,$M$3,$N$3,$O$3,$P$3))&gt;0,CEILING(MIN(H13,('Proforma (monthly)'!E75/E13)*CHOOSE(MIN(5,MAX(1,ROUNDUP((A91-'Growth &amp; timing'!B5)/12,0))),$L$3,$M$3,$N$3,$O$3,$P$3)),1),0))</f>
        <v>36</v>
      </c>
      <c r="K91" s="52">
        <f>IF(B91&lt;G14,0,IF(MIN(H14,('Proforma (monthly)'!E75/E14))&gt;0,CEILING(MIN(H14,('Proforma (monthly)'!E75/E14)),1),0))</f>
        <v>5</v>
      </c>
      <c r="L91" s="52">
        <f>IF(B91&lt;G15,0,IF(MIN(H15,('Proforma (monthly)'!C75/E15))&gt;0,CEILING(MIN(H15,('Proforma (monthly)'!C75/E15)),1),0))</f>
        <v>7</v>
      </c>
      <c r="M91" s="52">
        <f>IF(B91&lt;G16,0,IF(MIN(H16,(L91/E16))&gt;0,CEILING(MIN(H16,(L91/E16)),1),0))</f>
        <v>4</v>
      </c>
      <c r="N91" s="52">
        <f>IF(B91&lt;G17,0,IF(MIN(H17,(E17+MAX(0,B91-G17)/12*F17))&gt;0,CEILING(MIN(H17,(E17+MAX(0,B91-G17)/12*F17)),1),0))</f>
        <v>4</v>
      </c>
      <c r="O91" s="52">
        <f t="shared" si="7"/>
        <v>91</v>
      </c>
      <c r="P91" s="52">
        <f>IF(B91&lt;G18,0,IF(MIN(H18,(O91/E18))&gt;0,CEILING(MIN(H18,(O91/E18)),1),0))</f>
        <v>3</v>
      </c>
      <c r="Q91" s="14">
        <f>(F91*D9*IF(B91&gt;=G9+24,Staffing!B6,1)+G91*D10*IF(B91&gt;=G10+24,Staffing!B6,1)+H91*D11*IF(B91&gt;=G11+24,Staffing!B6,1)+I91*D12*IF(B91&gt;=G12+24,Staffing!B6,1)+J91*D13*IF(B91&gt;=G13+24,Staffing!B6,1)+K91*D14*IF(B91&gt;=G14+24,Staffing!B6,1))/12</f>
        <v>475300</v>
      </c>
      <c r="R91" s="14">
        <f>(C91*D6*IF(B91&gt;=G6+24,Staffing!B6,1)+D91*D7*IF(B91&gt;=G7+24,Staffing!B6,1)+E91*D8*IF(B91&gt;=G8+24,Staffing!B6,1)+L91*D15*IF(B91&gt;=G15+24,Staffing!B6,1)+M91*D16*IF(B91&gt;=G16+24,Staffing!B6,1)+N91*D17*IF(B91&gt;=G17+24,Staffing!B6,1)+P91*D18*IF(B91&gt;=G18+24,Staffing!B6,1))/12</f>
        <v>384000</v>
      </c>
      <c r="S91" s="52">
        <f t="shared" si="8"/>
        <v>94</v>
      </c>
    </row>
    <row r="92" spans="1:19" x14ac:dyDescent="0.25">
      <c r="A92" s="51">
        <v>71</v>
      </c>
      <c r="B92" s="52">
        <f t="shared" si="6"/>
        <v>70</v>
      </c>
      <c r="C92" s="52">
        <f>IF(B92&lt;G6,0,IF(MIN(H6,(E6+MAX(0,B92-G6)/12*F6))&gt;0,CEILING(MIN(H6,(E6+MAX(0,B92-G6)/12*F6)),1),0))</f>
        <v>3</v>
      </c>
      <c r="D92" s="52">
        <f>IF(B92&lt;G7,0,IF(MIN(H7,(E7+MAX(0,B92-G7)/12*F7))&gt;0,CEILING(MIN(H7,(E7+MAX(0,B92-G7)/12*F7)),1),0))</f>
        <v>4</v>
      </c>
      <c r="E92" s="52">
        <f>IF(B92&lt;G8,0,IF(MIN(H8,(E8+MAX(0,B92-G8)/12*F8))&gt;0,CEILING(MIN(H8,(E8+MAX(0,B92-G8)/12*F8)),1),0))</f>
        <v>3</v>
      </c>
      <c r="F92" s="52">
        <f>IF(B92&lt;G9,0,IF(MIN(H9,('Proforma (monthly)'!C76/E9))&gt;0,CEILING(MIN(H9,('Proforma (monthly)'!C76/E9)),1),0))</f>
        <v>3</v>
      </c>
      <c r="G92" s="52">
        <f>IF(B92&lt;G10,0,IF(MIN(H10,('Proforma (monthly)'!E76/E10))&gt;0,CEILING(MIN(H10,('Proforma (monthly)'!E76/E10)),1),0))</f>
        <v>6</v>
      </c>
      <c r="H92" s="52">
        <f>IF(B92&lt;G11,0,IF(MIN(H11,('Proforma (monthly)'!E76/E11))&gt;0,CEILING(MIN(H11,('Proforma (monthly)'!E76/E11)),1),0))</f>
        <v>14</v>
      </c>
      <c r="I92" s="52">
        <f>IF(B92&lt;G12,0,IF(MIN(H12,('Proforma (monthly)'!E76/E12))&gt;0,CEILING(MIN(H12,('Proforma (monthly)'!E76/E12)),1),0))</f>
        <v>5</v>
      </c>
      <c r="J92" s="52">
        <f>IF(B92&lt;G13,0,IF(MIN(H13,('Proforma (monthly)'!E76/E13)*CHOOSE(MIN(5,MAX(1,ROUNDUP((A92-'Growth &amp; timing'!B5)/12,0))),$L$3,$M$3,$N$3,$O$3,$P$3))&gt;0,CEILING(MIN(H13,('Proforma (monthly)'!E76/E13)*CHOOSE(MIN(5,MAX(1,ROUNDUP((A92-'Growth &amp; timing'!B5)/12,0))),$L$3,$M$3,$N$3,$O$3,$P$3)),1),0))</f>
        <v>38</v>
      </c>
      <c r="K92" s="52">
        <f>IF(B92&lt;G14,0,IF(MIN(H14,('Proforma (monthly)'!E76/E14))&gt;0,CEILING(MIN(H14,('Proforma (monthly)'!E76/E14)),1),0))</f>
        <v>6</v>
      </c>
      <c r="L92" s="52">
        <f>IF(B92&lt;G15,0,IF(MIN(H15,('Proforma (monthly)'!C76/E15))&gt;0,CEILING(MIN(H15,('Proforma (monthly)'!C76/E15)),1),0))</f>
        <v>8</v>
      </c>
      <c r="M92" s="52">
        <f>IF(B92&lt;G16,0,IF(MIN(H16,(L92/E16))&gt;0,CEILING(MIN(H16,(L92/E16)),1),0))</f>
        <v>4</v>
      </c>
      <c r="N92" s="52">
        <f>IF(B92&lt;G17,0,IF(MIN(H17,(E17+MAX(0,B92-G17)/12*F17))&gt;0,CEILING(MIN(H17,(E17+MAX(0,B92-G17)/12*F17)),1),0))</f>
        <v>4</v>
      </c>
      <c r="O92" s="52">
        <f t="shared" si="7"/>
        <v>98</v>
      </c>
      <c r="P92" s="52">
        <f>IF(B92&lt;G18,0,IF(MIN(H18,(O92/E18))&gt;0,CEILING(MIN(H18,(O92/E18)),1),0))</f>
        <v>3</v>
      </c>
      <c r="Q92" s="14">
        <f>(F92*D9*IF(B92&gt;=G9+24,Staffing!B6,1)+G92*D10*IF(B92&gt;=G10+24,Staffing!B6,1)+H92*D11*IF(B92&gt;=G11+24,Staffing!B6,1)+I92*D12*IF(B92&gt;=G12+24,Staffing!B6,1)+J92*D13*IF(B92&gt;=G13+24,Staffing!B6,1)+K92*D14*IF(B92&gt;=G14+24,Staffing!B6,1))/12</f>
        <v>521900</v>
      </c>
      <c r="R92" s="14">
        <f>(C92*D6*IF(B92&gt;=G6+24,Staffing!B6,1)+D92*D7*IF(B92&gt;=G7+24,Staffing!B6,1)+E92*D8*IF(B92&gt;=G8+24,Staffing!B6,1)+L92*D15*IF(B92&gt;=G15+24,Staffing!B6,1)+M92*D16*IF(B92&gt;=G16+24,Staffing!B6,1)+N92*D17*IF(B92&gt;=G17+24,Staffing!B6,1)+P92*D18*IF(B92&gt;=G18+24,Staffing!B6,1))/12</f>
        <v>398000</v>
      </c>
      <c r="S92" s="52">
        <f t="shared" si="8"/>
        <v>101</v>
      </c>
    </row>
    <row r="93" spans="1:19" x14ac:dyDescent="0.25">
      <c r="A93" s="51">
        <v>72</v>
      </c>
      <c r="B93" s="52">
        <f t="shared" si="6"/>
        <v>71</v>
      </c>
      <c r="C93" s="52">
        <f>IF(B93&lt;G6,0,IF(MIN(H6,(E6+MAX(0,B93-G6)/12*F6))&gt;0,CEILING(MIN(H6,(E6+MAX(0,B93-G6)/12*F6)),1),0))</f>
        <v>3</v>
      </c>
      <c r="D93" s="52">
        <f>IF(B93&lt;G7,0,IF(MIN(H7,(E7+MAX(0,B93-G7)/12*F7))&gt;0,CEILING(MIN(H7,(E7+MAX(0,B93-G7)/12*F7)),1),0))</f>
        <v>4</v>
      </c>
      <c r="E93" s="52">
        <f>IF(B93&lt;G8,0,IF(MIN(H8,(E8+MAX(0,B93-G8)/12*F8))&gt;0,CEILING(MIN(H8,(E8+MAX(0,B93-G8)/12*F8)),1),0))</f>
        <v>3</v>
      </c>
      <c r="F93" s="52">
        <f>IF(B93&lt;G9,0,IF(MIN(H9,('Proforma (monthly)'!C77/E9))&gt;0,CEILING(MIN(H9,('Proforma (monthly)'!C77/E9)),1),0))</f>
        <v>4</v>
      </c>
      <c r="G93" s="52">
        <f>IF(B93&lt;G10,0,IF(MIN(H10,('Proforma (monthly)'!E77/E10))&gt;0,CEILING(MIN(H10,('Proforma (monthly)'!E77/E10)),1),0))</f>
        <v>6</v>
      </c>
      <c r="H93" s="52">
        <f>IF(B93&lt;G11,0,IF(MIN(H11,('Proforma (monthly)'!E77/E11))&gt;0,CEILING(MIN(H11,('Proforma (monthly)'!E77/E11)),1),0))</f>
        <v>15</v>
      </c>
      <c r="I93" s="52">
        <f>IF(B93&lt;G12,0,IF(MIN(H12,('Proforma (monthly)'!E77/E12))&gt;0,CEILING(MIN(H12,('Proforma (monthly)'!E77/E12)),1),0))</f>
        <v>5</v>
      </c>
      <c r="J93" s="52">
        <f>IF(B93&lt;G13,0,IF(MIN(H13,('Proforma (monthly)'!E77/E13)*CHOOSE(MIN(5,MAX(1,ROUNDUP((A93-'Growth &amp; timing'!B5)/12,0))),$L$3,$M$3,$N$3,$O$3,$P$3))&gt;0,CEILING(MIN(H13,('Proforma (monthly)'!E77/E13)*CHOOSE(MIN(5,MAX(1,ROUNDUP((A93-'Growth &amp; timing'!B5)/12,0))),$L$3,$M$3,$N$3,$O$3,$P$3)),1),0))</f>
        <v>41</v>
      </c>
      <c r="K93" s="52">
        <f>IF(B93&lt;G14,0,IF(MIN(H14,('Proforma (monthly)'!E77/E14))&gt;0,CEILING(MIN(H14,('Proforma (monthly)'!E77/E14)),1),0))</f>
        <v>6</v>
      </c>
      <c r="L93" s="52">
        <f>IF(B93&lt;G15,0,IF(MIN(H15,('Proforma (monthly)'!C77/E15))&gt;0,CEILING(MIN(H15,('Proforma (monthly)'!C77/E15)),1),0))</f>
        <v>9</v>
      </c>
      <c r="M93" s="52">
        <f>IF(B93&lt;G16,0,IF(MIN(H16,(L93/E16))&gt;0,CEILING(MIN(H16,(L93/E16)),1),0))</f>
        <v>5</v>
      </c>
      <c r="N93" s="52">
        <f>IF(B93&lt;G17,0,IF(MIN(H17,(E17+MAX(0,B93-G17)/12*F17))&gt;0,CEILING(MIN(H17,(E17+MAX(0,B93-G17)/12*F17)),1),0))</f>
        <v>4</v>
      </c>
      <c r="O93" s="52">
        <f t="shared" si="7"/>
        <v>105</v>
      </c>
      <c r="P93" s="52">
        <f>IF(B93&lt;G18,0,IF(MIN(H18,(O93/E18))&gt;0,CEILING(MIN(H18,(O93/E18)),1),0))</f>
        <v>3</v>
      </c>
      <c r="Q93" s="14">
        <f>(F93*D9*IF(B93&gt;=G9+24,Staffing!B6,1)+G93*D10*IF(B93&gt;=G10+24,Staffing!B6,1)+H93*D11*IF(B93&gt;=G11+24,Staffing!B6,1)+I93*D12*IF(B93&gt;=G12+24,Staffing!B6,1)+J93*D13*IF(B93&gt;=G13+24,Staffing!B6,1)+K93*D14*IF(B93&gt;=G14+24,Staffing!B6,1))/12</f>
        <v>557300</v>
      </c>
      <c r="R93" s="14">
        <f>(C93*D6*IF(B93&gt;=G6+24,Staffing!B6,1)+D93*D7*IF(B93&gt;=G7+24,Staffing!B6,1)+E93*D8*IF(B93&gt;=G8+24,Staffing!B6,1)+L93*D15*IF(B93&gt;=G15+24,Staffing!B6,1)+M93*D16*IF(B93&gt;=G16+24,Staffing!B6,1)+N93*D17*IF(B93&gt;=G17+24,Staffing!B6,1)+P93*D18*IF(B93&gt;=G18+24,Staffing!B6,1))/12</f>
        <v>419000</v>
      </c>
      <c r="S93" s="52">
        <f t="shared" si="8"/>
        <v>108</v>
      </c>
    </row>
  </sheetData>
  <mergeCells count="2">
    <mergeCell ref="A2:S2"/>
    <mergeCell ref="A1:S1"/>
  </mergeCells>
  <conditionalFormatting sqref="A1:S93">
    <cfRule type="expression" dxfId="77" priority="1">
      <formula>_xludf.ISFORMULA(A1)</formula>
    </cfRule>
    <cfRule type="expression" dxfId="7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2E7D32"/>
  </sheetPr>
  <dimension ref="A1:N77"/>
  <sheetViews>
    <sheetView showGridLines="0" workbookViewId="0"/>
  </sheetViews>
  <sheetFormatPr defaultRowHeight="15" x14ac:dyDescent="0.25"/>
  <cols>
    <col min="1" max="1" width="64.7109375" style="125" customWidth="1"/>
    <col min="2" max="2" width="9.5703125" bestFit="1" customWidth="1"/>
    <col min="3" max="3" width="8.140625" bestFit="1" customWidth="1"/>
    <col min="4" max="4" width="7.28515625" bestFit="1" customWidth="1"/>
    <col min="5" max="5" width="7.5703125" bestFit="1" customWidth="1"/>
    <col min="6" max="6" width="11" bestFit="1" customWidth="1"/>
    <col min="7" max="7" width="11.140625" bestFit="1" customWidth="1"/>
    <col min="8" max="8" width="14.42578125" bestFit="1" customWidth="1"/>
    <col min="9" max="9" width="11.85546875" bestFit="1" customWidth="1"/>
    <col min="10" max="10" width="10.140625" bestFit="1" customWidth="1"/>
    <col min="11" max="11" width="11.140625" bestFit="1" customWidth="1"/>
    <col min="12" max="12" width="7.5703125" bestFit="1" customWidth="1"/>
    <col min="13" max="13" width="14.85546875" bestFit="1" customWidth="1"/>
    <col min="14" max="14" width="13.140625" bestFit="1" customWidth="1"/>
  </cols>
  <sheetData>
    <row r="1" spans="1:14" ht="21" x14ac:dyDescent="0.25">
      <c r="A1" s="110" t="s">
        <v>278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x14ac:dyDescent="0.25">
      <c r="A2" s="95" t="s">
        <v>279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ht="30" x14ac:dyDescent="0.25">
      <c r="A3" s="133" t="s">
        <v>280</v>
      </c>
      <c r="L3" s="52">
        <f>L77</f>
        <v>28</v>
      </c>
      <c r="M3" s="14">
        <f>M77</f>
        <v>1071000</v>
      </c>
      <c r="N3" s="14">
        <f>N77</f>
        <v>4897.8767500000004</v>
      </c>
    </row>
    <row r="4" spans="1:14" x14ac:dyDescent="0.25">
      <c r="A4" s="115" t="str">
        <f>IF(MIN(K6:K77)&lt;0,"⚠ INSOLVENT — cash goes negative",IF(MIN(K6:K77)&lt;'Growth &amp; timing'!B13,"▲ Solvent, but thin — min cash dips below the $500K cushion","✓ Cash stays above the $500K cushion"))</f>
        <v>✓ Cash stays above the $500K cushion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4" x14ac:dyDescent="0.25">
      <c r="A5" s="134" t="s">
        <v>264</v>
      </c>
      <c r="B5" s="53" t="s">
        <v>281</v>
      </c>
      <c r="C5" s="53" t="s">
        <v>282</v>
      </c>
      <c r="D5" s="53" t="s">
        <v>283</v>
      </c>
      <c r="E5" s="53" t="s">
        <v>284</v>
      </c>
      <c r="F5" s="53" t="s">
        <v>285</v>
      </c>
      <c r="G5" s="53" t="s">
        <v>286</v>
      </c>
      <c r="H5" s="53" t="s">
        <v>287</v>
      </c>
      <c r="I5" s="53" t="s">
        <v>288</v>
      </c>
      <c r="J5" s="53" t="s">
        <v>289</v>
      </c>
      <c r="K5" s="53" t="s">
        <v>290</v>
      </c>
      <c r="L5" s="53" t="s">
        <v>291</v>
      </c>
      <c r="M5" s="53" t="s">
        <v>292</v>
      </c>
      <c r="N5" s="53" t="s">
        <v>293</v>
      </c>
    </row>
    <row r="6" spans="1:14" x14ac:dyDescent="0.25">
      <c r="A6" s="135">
        <v>1</v>
      </c>
      <c r="B6" s="54" t="str">
        <f>IF(A6&lt;='Growth &amp; timing'!B5,"Dev",IF(A6&lt;='Growth &amp; timing'!B5+'Growth &amp; timing'!B9,"Testing","Explosion"))</f>
        <v>Dev</v>
      </c>
      <c r="C6" s="52">
        <f>D6</f>
        <v>0</v>
      </c>
      <c r="D6" s="52">
        <f>IF(A6&lt;='Growth &amp; timing'!B5,0,IF(A6='Growth &amp; timing'!B5+1,'Growth &amp; timing'!B8,0))</f>
        <v>0</v>
      </c>
      <c r="E6" s="52">
        <f>ROUND(D6*'Growth &amp; timing'!B6,0)</f>
        <v>0</v>
      </c>
      <c r="F6" s="14">
        <f>E6*N6*IF(AND(A6&gt;='Growth &amp; timing'!B5+1,A6&lt;='Growth &amp; timing'!B5+12),'Growth &amp; timing'!B7,1)</f>
        <v>0</v>
      </c>
      <c r="G6" s="14">
        <f t="shared" ref="G6:G37" si="0">E6*N6*12</f>
        <v>0</v>
      </c>
      <c r="H6" s="14">
        <f>E6*(L6*'Throughput → collections'!B8/12)*('AI-Scribe &amp; Azure'!B31+'Cost-to-serve (per encounter-cl'!B7)+E6*(L6*'Throughput → collections'!B8/12)*'Cost-to-serve (per encounter-cl'!B6*'Cost-to-serve (per encounter-cl'!B5+E6*'Cost-to-serve (per encounter-cl'!B9/12+'Cost-to-serve (per encounter-cl'!B10/12+'Staffing &amp; FTE'!Q22</f>
        <v>4166.666666666667</v>
      </c>
      <c r="I6" s="14">
        <f>'Staffing &amp; FTE'!R22+('Operating costs (fixed)'!B15-'Operating costs (fixed)'!B7)*(1+'Operating costs (fixed)'!B13)^(INT((A6-1)/12))+'Operating costs (fixed)'!B7*MIN(1,(A6-1)/12/'Operating costs (fixed)'!B8)+E6*'Operating costs (fixed)'!B11</f>
        <v>37166.666666666672</v>
      </c>
      <c r="J6" s="14">
        <f t="shared" ref="J6:J37" si="1">F6-H6-I6</f>
        <v>-41333.333333333336</v>
      </c>
      <c r="K6" s="14">
        <f>'Financing &amp; returns'!B8+'Financing &amp; returns'!B7+J6</f>
        <v>4258666.666666667</v>
      </c>
      <c r="L6" s="55">
        <f>MIN('Throughput → collections'!B6,'Throughput → collections'!B5+('Throughput → collections'!B6-'Throughput → collections'!B5)*MIN(MAX(0,(A6-('Growth &amp; timing'!B5+1))/12),'Throughput → collections'!B7)/'Throughput → collections'!B7)</f>
        <v>20</v>
      </c>
      <c r="M6" s="14">
        <f>L6*'Throughput → collections'!B8*'Throughput → collections'!B9</f>
        <v>765000</v>
      </c>
      <c r="N6" s="14">
        <f>(Pricing!B7*Pricing!B5+(1-Pricing!B7)*Pricing!B6)+(M6*'Throughput → collections'!B10*Pricing!B8*Pricing!B9)/12</f>
        <v>3649.6262500000007</v>
      </c>
    </row>
    <row r="7" spans="1:14" x14ac:dyDescent="0.25">
      <c r="A7" s="135">
        <v>2</v>
      </c>
      <c r="B7" s="54" t="str">
        <f>IF(A7&lt;='Growth &amp; timing'!B5,"Dev",IF(A7&lt;='Growth &amp; timing'!B5+'Growth &amp; timing'!B9,"Testing","Explosion"))</f>
        <v>Dev</v>
      </c>
      <c r="C7" s="52">
        <f t="shared" ref="C7:C38" si="2">MAX(0,D7-D6)</f>
        <v>0</v>
      </c>
      <c r="D7" s="52">
        <f>IF(A7&lt;='Growth &amp; timing'!B5,0,IF(A7='Growth &amp; timing'!B5+1,'Growth &amp; timing'!B8,IF(A7&lt;='Growth &amp; timing'!B5+'Growth &amp; timing'!B9,D6*((1-'Growth &amp; timing'!B12)^(1/12))+'Growth &amp; timing'!B10,D6*(1+'Growth &amp; timing'!B11)^(1/12))))</f>
        <v>0</v>
      </c>
      <c r="E7" s="52">
        <f>ROUND(D7*'Growth &amp; timing'!B6,0)</f>
        <v>0</v>
      </c>
      <c r="F7" s="14">
        <f>E7*N7*IF(AND(A7&gt;='Growth &amp; timing'!B5+1,A7&lt;='Growth &amp; timing'!B5+12),'Growth &amp; timing'!B7,1)</f>
        <v>0</v>
      </c>
      <c r="G7" s="14">
        <f t="shared" si="0"/>
        <v>0</v>
      </c>
      <c r="H7" s="14">
        <f>E7*(L7*'Throughput → collections'!B8/12)*('AI-Scribe &amp; Azure'!B31+'Cost-to-serve (per encounter-cl'!B7)+E7*(L7*'Throughput → collections'!B8/12)*'Cost-to-serve (per encounter-cl'!B6*'Cost-to-serve (per encounter-cl'!B5+E7*'Cost-to-serve (per encounter-cl'!B9/12+'Cost-to-serve (per encounter-cl'!B10/12+'Staffing &amp; FTE'!Q23</f>
        <v>4166.666666666667</v>
      </c>
      <c r="I7" s="14">
        <f>'Staffing &amp; FTE'!R23+('Operating costs (fixed)'!B15-'Operating costs (fixed)'!B7)*(1+'Operating costs (fixed)'!B13)^(INT((A7-1)/12))+'Operating costs (fixed)'!B7*MIN(1,(A7-1)/12/'Operating costs (fixed)'!B8)+MAX(0,E7-E6)*'Operating costs (fixed)'!B11</f>
        <v>53944.444444444445</v>
      </c>
      <c r="J7" s="14">
        <f t="shared" si="1"/>
        <v>-58111.111111111109</v>
      </c>
      <c r="K7" s="14">
        <f>K6+J7+IF(A7='Financing &amp; returns'!B13,'Financing &amp; returns'!B12,0)</f>
        <v>4200555.555555556</v>
      </c>
      <c r="L7" s="55">
        <f>MIN('Throughput → collections'!B6,'Throughput → collections'!B5+('Throughput → collections'!B6-'Throughput → collections'!B5)*MIN(MAX(0,(A7-('Growth &amp; timing'!B5+1))/12),'Throughput → collections'!B7)/'Throughput → collections'!B7)</f>
        <v>20</v>
      </c>
      <c r="M7" s="14">
        <f>L7*'Throughput → collections'!B8*'Throughput → collections'!B9</f>
        <v>765000</v>
      </c>
      <c r="N7" s="14">
        <f>(Pricing!B7*Pricing!B5+(1-Pricing!B7)*Pricing!B6)+(M7*'Throughput → collections'!B10*Pricing!B8*Pricing!B9)/12</f>
        <v>3649.6262500000007</v>
      </c>
    </row>
    <row r="8" spans="1:14" x14ac:dyDescent="0.25">
      <c r="A8" s="135">
        <v>3</v>
      </c>
      <c r="B8" s="54" t="str">
        <f>IF(A8&lt;='Growth &amp; timing'!B5,"Dev",IF(A8&lt;='Growth &amp; timing'!B5+'Growth &amp; timing'!B9,"Testing","Explosion"))</f>
        <v>Dev</v>
      </c>
      <c r="C8" s="52">
        <f t="shared" si="2"/>
        <v>0</v>
      </c>
      <c r="D8" s="52">
        <f>IF(A8&lt;='Growth &amp; timing'!B5,0,IF(A8='Growth &amp; timing'!B5+1,'Growth &amp; timing'!B8,IF(A8&lt;='Growth &amp; timing'!B5+'Growth &amp; timing'!B9,D7*((1-'Growth &amp; timing'!B12)^(1/12))+'Growth &amp; timing'!B10,D7*(1+'Growth &amp; timing'!B11)^(1/12))))</f>
        <v>0</v>
      </c>
      <c r="E8" s="52">
        <f>ROUND(D8*'Growth &amp; timing'!B6,0)</f>
        <v>0</v>
      </c>
      <c r="F8" s="14">
        <f>E8*N8*IF(AND(A8&gt;='Growth &amp; timing'!B5+1,A8&lt;='Growth &amp; timing'!B5+12),'Growth &amp; timing'!B7,1)</f>
        <v>0</v>
      </c>
      <c r="G8" s="14">
        <f t="shared" si="0"/>
        <v>0</v>
      </c>
      <c r="H8" s="14">
        <f>E8*(L8*'Throughput → collections'!B8/12)*('AI-Scribe &amp; Azure'!B31+'Cost-to-serve (per encounter-cl'!B7)+E8*(L8*'Throughput → collections'!B8/12)*'Cost-to-serve (per encounter-cl'!B6*'Cost-to-serve (per encounter-cl'!B5+E8*'Cost-to-serve (per encounter-cl'!B9/12+'Cost-to-serve (per encounter-cl'!B10/12+'Staffing &amp; FTE'!Q24</f>
        <v>4166.666666666667</v>
      </c>
      <c r="I8" s="14">
        <f>'Staffing &amp; FTE'!R24+('Operating costs (fixed)'!B15-'Operating costs (fixed)'!B7)*(1+'Operating costs (fixed)'!B13)^(INT((A8-1)/12))+'Operating costs (fixed)'!B7*MIN(1,(A8-1)/12/'Operating costs (fixed)'!B8)+MAX(0,E8-E7)*'Operating costs (fixed)'!B11</f>
        <v>54055.555555555555</v>
      </c>
      <c r="J8" s="14">
        <f t="shared" si="1"/>
        <v>-58222.222222222219</v>
      </c>
      <c r="K8" s="14">
        <f>K7+J8+IF(A8='Financing &amp; returns'!B13,'Financing &amp; returns'!B12,0)</f>
        <v>4142333.333333334</v>
      </c>
      <c r="L8" s="55">
        <f>MIN('Throughput → collections'!B6,'Throughput → collections'!B5+('Throughput → collections'!B6-'Throughput → collections'!B5)*MIN(MAX(0,(A8-('Growth &amp; timing'!B5+1))/12),'Throughput → collections'!B7)/'Throughput → collections'!B7)</f>
        <v>20</v>
      </c>
      <c r="M8" s="14">
        <f>L8*'Throughput → collections'!B8*'Throughput → collections'!B9</f>
        <v>765000</v>
      </c>
      <c r="N8" s="14">
        <f>(Pricing!B7*Pricing!B5+(1-Pricing!B7)*Pricing!B6)+(M8*'Throughput → collections'!B10*Pricing!B8*Pricing!B9)/12</f>
        <v>3649.6262500000007</v>
      </c>
    </row>
    <row r="9" spans="1:14" x14ac:dyDescent="0.25">
      <c r="A9" s="135">
        <v>4</v>
      </c>
      <c r="B9" s="54" t="str">
        <f>IF(A9&lt;='Growth &amp; timing'!B5,"Dev",IF(A9&lt;='Growth &amp; timing'!B5+'Growth &amp; timing'!B9,"Testing","Explosion"))</f>
        <v>Dev</v>
      </c>
      <c r="C9" s="52">
        <f t="shared" si="2"/>
        <v>0</v>
      </c>
      <c r="D9" s="52">
        <f>IF(A9&lt;='Growth &amp; timing'!B5,0,IF(A9='Growth &amp; timing'!B5+1,'Growth &amp; timing'!B8,IF(A9&lt;='Growth &amp; timing'!B5+'Growth &amp; timing'!B9,D8*((1-'Growth &amp; timing'!B12)^(1/12))+'Growth &amp; timing'!B10,D8*(1+'Growth &amp; timing'!B11)^(1/12))))</f>
        <v>0</v>
      </c>
      <c r="E9" s="52">
        <f>ROUND(D9*'Growth &amp; timing'!B6,0)</f>
        <v>0</v>
      </c>
      <c r="F9" s="14">
        <f>E9*N9*IF(AND(A9&gt;='Growth &amp; timing'!B5+1,A9&lt;='Growth &amp; timing'!B5+12),'Growth &amp; timing'!B7,1)</f>
        <v>0</v>
      </c>
      <c r="G9" s="14">
        <f t="shared" si="0"/>
        <v>0</v>
      </c>
      <c r="H9" s="14">
        <f>E9*(L9*'Throughput → collections'!B8/12)*('AI-Scribe &amp; Azure'!B31+'Cost-to-serve (per encounter-cl'!B7)+E9*(L9*'Throughput → collections'!B8/12)*'Cost-to-serve (per encounter-cl'!B6*'Cost-to-serve (per encounter-cl'!B5+E9*'Cost-to-serve (per encounter-cl'!B9/12+'Cost-to-serve (per encounter-cl'!B10/12+'Staffing &amp; FTE'!Q25</f>
        <v>4166.666666666667</v>
      </c>
      <c r="I9" s="14">
        <f>'Staffing &amp; FTE'!R25+('Operating costs (fixed)'!B15-'Operating costs (fixed)'!B7)*(1+'Operating costs (fixed)'!B13)^(INT((A9-1)/12))+'Operating costs (fixed)'!B7*MIN(1,(A9-1)/12/'Operating costs (fixed)'!B8)+MAX(0,E9-E8)*'Operating costs (fixed)'!B11</f>
        <v>54166.666666666672</v>
      </c>
      <c r="J9" s="14">
        <f t="shared" si="1"/>
        <v>-58333.333333333336</v>
      </c>
      <c r="K9" s="14">
        <f>K8+J9+IF(A9='Financing &amp; returns'!B13,'Financing &amp; returns'!B12,0)</f>
        <v>4084000.0000000005</v>
      </c>
      <c r="L9" s="55">
        <f>MIN('Throughput → collections'!B6,'Throughput → collections'!B5+('Throughput → collections'!B6-'Throughput → collections'!B5)*MIN(MAX(0,(A9-('Growth &amp; timing'!B5+1))/12),'Throughput → collections'!B7)/'Throughput → collections'!B7)</f>
        <v>20</v>
      </c>
      <c r="M9" s="14">
        <f>L9*'Throughput → collections'!B8*'Throughput → collections'!B9</f>
        <v>765000</v>
      </c>
      <c r="N9" s="14">
        <f>(Pricing!B7*Pricing!B5+(1-Pricing!B7)*Pricing!B6)+(M9*'Throughput → collections'!B10*Pricing!B8*Pricing!B9)/12</f>
        <v>3649.6262500000007</v>
      </c>
    </row>
    <row r="10" spans="1:14" x14ac:dyDescent="0.25">
      <c r="A10" s="135">
        <v>5</v>
      </c>
      <c r="B10" s="54" t="str">
        <f>IF(A10&lt;='Growth &amp; timing'!B5,"Dev",IF(A10&lt;='Growth &amp; timing'!B5+'Growth &amp; timing'!B9,"Testing","Explosion"))</f>
        <v>Dev</v>
      </c>
      <c r="C10" s="52">
        <f t="shared" si="2"/>
        <v>0</v>
      </c>
      <c r="D10" s="52">
        <f>IF(A10&lt;='Growth &amp; timing'!B5,0,IF(A10='Growth &amp; timing'!B5+1,'Growth &amp; timing'!B8,IF(A10&lt;='Growth &amp; timing'!B5+'Growth &amp; timing'!B9,D9*((1-'Growth &amp; timing'!B12)^(1/12))+'Growth &amp; timing'!B10,D9*(1+'Growth &amp; timing'!B11)^(1/12))))</f>
        <v>0</v>
      </c>
      <c r="E10" s="52">
        <f>ROUND(D10*'Growth &amp; timing'!B6,0)</f>
        <v>0</v>
      </c>
      <c r="F10" s="14">
        <f>E10*N10*IF(AND(A10&gt;='Growth &amp; timing'!B5+1,A10&lt;='Growth &amp; timing'!B5+12),'Growth &amp; timing'!B7,1)</f>
        <v>0</v>
      </c>
      <c r="G10" s="14">
        <f t="shared" si="0"/>
        <v>0</v>
      </c>
      <c r="H10" s="14">
        <f>E10*(L10*'Throughput → collections'!B8/12)*('AI-Scribe &amp; Azure'!B31+'Cost-to-serve (per encounter-cl'!B7)+E10*(L10*'Throughput → collections'!B8/12)*'Cost-to-serve (per encounter-cl'!B6*'Cost-to-serve (per encounter-cl'!B5+E10*'Cost-to-serve (per encounter-cl'!B9/12+'Cost-to-serve (per encounter-cl'!B10/12+'Staffing &amp; FTE'!Q26</f>
        <v>4166.666666666667</v>
      </c>
      <c r="I10" s="14">
        <f>'Staffing &amp; FTE'!R26+('Operating costs (fixed)'!B15-'Operating costs (fixed)'!B7)*(1+'Operating costs (fixed)'!B13)^(INT((A10-1)/12))+'Operating costs (fixed)'!B7*MIN(1,(A10-1)/12/'Operating costs (fixed)'!B8)+MAX(0,E10-E9)*'Operating costs (fixed)'!B11</f>
        <v>54277.777777777781</v>
      </c>
      <c r="J10" s="14">
        <f t="shared" si="1"/>
        <v>-58444.444444444445</v>
      </c>
      <c r="K10" s="14">
        <f>K9+J10+IF(A10='Financing &amp; returns'!B13,'Financing &amp; returns'!B12,0)</f>
        <v>4025555.555555556</v>
      </c>
      <c r="L10" s="55">
        <f>MIN('Throughput → collections'!B6,'Throughput → collections'!B5+('Throughput → collections'!B6-'Throughput → collections'!B5)*MIN(MAX(0,(A10-('Growth &amp; timing'!B5+1))/12),'Throughput → collections'!B7)/'Throughput → collections'!B7)</f>
        <v>20</v>
      </c>
      <c r="M10" s="14">
        <f>L10*'Throughput → collections'!B8*'Throughput → collections'!B9</f>
        <v>765000</v>
      </c>
      <c r="N10" s="14">
        <f>(Pricing!B7*Pricing!B5+(1-Pricing!B7)*Pricing!B6)+(M10*'Throughput → collections'!B10*Pricing!B8*Pricing!B9)/12</f>
        <v>3649.6262500000007</v>
      </c>
    </row>
    <row r="11" spans="1:14" x14ac:dyDescent="0.25">
      <c r="A11" s="135">
        <v>6</v>
      </c>
      <c r="B11" s="54" t="str">
        <f>IF(A11&lt;='Growth &amp; timing'!B5,"Dev",IF(A11&lt;='Growth &amp; timing'!B5+'Growth &amp; timing'!B9,"Testing","Explosion"))</f>
        <v>Dev</v>
      </c>
      <c r="C11" s="52">
        <f t="shared" si="2"/>
        <v>0</v>
      </c>
      <c r="D11" s="52">
        <f>IF(A11&lt;='Growth &amp; timing'!B5,0,IF(A11='Growth &amp; timing'!B5+1,'Growth &amp; timing'!B8,IF(A11&lt;='Growth &amp; timing'!B5+'Growth &amp; timing'!B9,D10*((1-'Growth &amp; timing'!B12)^(1/12))+'Growth &amp; timing'!B10,D10*(1+'Growth &amp; timing'!B11)^(1/12))))</f>
        <v>0</v>
      </c>
      <c r="E11" s="52">
        <f>ROUND(D11*'Growth &amp; timing'!B6,0)</f>
        <v>0</v>
      </c>
      <c r="F11" s="14">
        <f>E11*N11*IF(AND(A11&gt;='Growth &amp; timing'!B5+1,A11&lt;='Growth &amp; timing'!B5+12),'Growth &amp; timing'!B7,1)</f>
        <v>0</v>
      </c>
      <c r="G11" s="14">
        <f t="shared" si="0"/>
        <v>0</v>
      </c>
      <c r="H11" s="14">
        <f>E11*(L11*'Throughput → collections'!B8/12)*('AI-Scribe &amp; Azure'!B31+'Cost-to-serve (per encounter-cl'!B7)+E11*(L11*'Throughput → collections'!B8/12)*'Cost-to-serve (per encounter-cl'!B6*'Cost-to-serve (per encounter-cl'!B5+E11*'Cost-to-serve (per encounter-cl'!B9/12+'Cost-to-serve (per encounter-cl'!B10/12+'Staffing &amp; FTE'!Q27</f>
        <v>4166.666666666667</v>
      </c>
      <c r="I11" s="14">
        <f>'Staffing &amp; FTE'!R27+('Operating costs (fixed)'!B15-'Operating costs (fixed)'!B7)*(1+'Operating costs (fixed)'!B13)^(INT((A11-1)/12))+'Operating costs (fixed)'!B7*MIN(1,(A11-1)/12/'Operating costs (fixed)'!B8)+MAX(0,E11-E10)*'Operating costs (fixed)'!B11</f>
        <v>66888.888888888905</v>
      </c>
      <c r="J11" s="14">
        <f t="shared" si="1"/>
        <v>-71055.555555555577</v>
      </c>
      <c r="K11" s="14">
        <f>K10+J11+IF(A11='Financing &amp; returns'!B13,'Financing &amp; returns'!B12,0)</f>
        <v>3954500.0000000005</v>
      </c>
      <c r="L11" s="55">
        <f>MIN('Throughput → collections'!B6,'Throughput → collections'!B5+('Throughput → collections'!B6-'Throughput → collections'!B5)*MIN(MAX(0,(A11-('Growth &amp; timing'!B5+1))/12),'Throughput → collections'!B7)/'Throughput → collections'!B7)</f>
        <v>20</v>
      </c>
      <c r="M11" s="14">
        <f>L11*'Throughput → collections'!B8*'Throughput → collections'!B9</f>
        <v>765000</v>
      </c>
      <c r="N11" s="14">
        <f>(Pricing!B7*Pricing!B5+(1-Pricing!B7)*Pricing!B6)+(M11*'Throughput → collections'!B10*Pricing!B8*Pricing!B9)/12</f>
        <v>3649.6262500000007</v>
      </c>
    </row>
    <row r="12" spans="1:14" x14ac:dyDescent="0.25">
      <c r="A12" s="135">
        <v>7</v>
      </c>
      <c r="B12" s="54" t="str">
        <f>IF(A12&lt;='Growth &amp; timing'!B5,"Dev",IF(A12&lt;='Growth &amp; timing'!B5+'Growth &amp; timing'!B9,"Testing","Explosion"))</f>
        <v>Dev</v>
      </c>
      <c r="C12" s="52">
        <f t="shared" si="2"/>
        <v>0</v>
      </c>
      <c r="D12" s="52">
        <f>IF(A12&lt;='Growth &amp; timing'!B5,0,IF(A12='Growth &amp; timing'!B5+1,'Growth &amp; timing'!B8,IF(A12&lt;='Growth &amp; timing'!B5+'Growth &amp; timing'!B9,D11*((1-'Growth &amp; timing'!B12)^(1/12))+'Growth &amp; timing'!B10,D11*(1+'Growth &amp; timing'!B11)^(1/12))))</f>
        <v>0</v>
      </c>
      <c r="E12" s="52">
        <f>ROUND(D12*'Growth &amp; timing'!B6,0)</f>
        <v>0</v>
      </c>
      <c r="F12" s="14">
        <f>E12*N12*IF(AND(A12&gt;='Growth &amp; timing'!B5+1,A12&lt;='Growth &amp; timing'!B5+12),'Growth &amp; timing'!B7,1)</f>
        <v>0</v>
      </c>
      <c r="G12" s="14">
        <f t="shared" si="0"/>
        <v>0</v>
      </c>
      <c r="H12" s="14">
        <f>E12*(L12*'Throughput → collections'!B8/12)*('AI-Scribe &amp; Azure'!B31+'Cost-to-serve (per encounter-cl'!B7)+E12*(L12*'Throughput → collections'!B8/12)*'Cost-to-serve (per encounter-cl'!B6*'Cost-to-serve (per encounter-cl'!B5+E12*'Cost-to-serve (per encounter-cl'!B9/12+'Cost-to-serve (per encounter-cl'!B10/12+'Staffing &amp; FTE'!Q28</f>
        <v>4166.666666666667</v>
      </c>
      <c r="I12" s="14">
        <f>'Staffing &amp; FTE'!R28+('Operating costs (fixed)'!B15-'Operating costs (fixed)'!B7)*(1+'Operating costs (fixed)'!B13)^(INT((A12-1)/12))+'Operating costs (fixed)'!B7*MIN(1,(A12-1)/12/'Operating costs (fixed)'!B8)+MAX(0,E12-E11)*'Operating costs (fixed)'!B11</f>
        <v>67000.000000000015</v>
      </c>
      <c r="J12" s="14">
        <f t="shared" si="1"/>
        <v>-71166.666666666686</v>
      </c>
      <c r="K12" s="14">
        <f>K11+J12+IF(A12='Financing &amp; returns'!B13,'Financing &amp; returns'!B12,0)</f>
        <v>3883333.333333334</v>
      </c>
      <c r="L12" s="55">
        <f>MIN('Throughput → collections'!B6,'Throughput → collections'!B5+('Throughput → collections'!B6-'Throughput → collections'!B5)*MIN(MAX(0,(A12-('Growth &amp; timing'!B5+1))/12),'Throughput → collections'!B7)/'Throughput → collections'!B7)</f>
        <v>20</v>
      </c>
      <c r="M12" s="14">
        <f>L12*'Throughput → collections'!B8*'Throughput → collections'!B9</f>
        <v>765000</v>
      </c>
      <c r="N12" s="14">
        <f>(Pricing!B7*Pricing!B5+(1-Pricing!B7)*Pricing!B6)+(M12*'Throughput → collections'!B10*Pricing!B8*Pricing!B9)/12</f>
        <v>3649.6262500000007</v>
      </c>
    </row>
    <row r="13" spans="1:14" x14ac:dyDescent="0.25">
      <c r="A13" s="135">
        <v>8</v>
      </c>
      <c r="B13" s="54" t="str">
        <f>IF(A13&lt;='Growth &amp; timing'!B5,"Dev",IF(A13&lt;='Growth &amp; timing'!B5+'Growth &amp; timing'!B9,"Testing","Explosion"))</f>
        <v>Dev</v>
      </c>
      <c r="C13" s="52">
        <f t="shared" si="2"/>
        <v>0</v>
      </c>
      <c r="D13" s="52">
        <f>IF(A13&lt;='Growth &amp; timing'!B5,0,IF(A13='Growth &amp; timing'!B5+1,'Growth &amp; timing'!B8,IF(A13&lt;='Growth &amp; timing'!B5+'Growth &amp; timing'!B9,D12*((1-'Growth &amp; timing'!B12)^(1/12))+'Growth &amp; timing'!B10,D12*(1+'Growth &amp; timing'!B11)^(1/12))))</f>
        <v>0</v>
      </c>
      <c r="E13" s="52">
        <f>ROUND(D13*'Growth &amp; timing'!B6,0)</f>
        <v>0</v>
      </c>
      <c r="F13" s="14">
        <f>E13*N13*IF(AND(A13&gt;='Growth &amp; timing'!B5+1,A13&lt;='Growth &amp; timing'!B5+12),'Growth &amp; timing'!B7,1)</f>
        <v>0</v>
      </c>
      <c r="G13" s="14">
        <f t="shared" si="0"/>
        <v>0</v>
      </c>
      <c r="H13" s="14">
        <f>E13*(L13*'Throughput → collections'!B8/12)*('AI-Scribe &amp; Azure'!B31+'Cost-to-serve (per encounter-cl'!B7)+E13*(L13*'Throughput → collections'!B8/12)*'Cost-to-serve (per encounter-cl'!B6*'Cost-to-serve (per encounter-cl'!B5+E13*'Cost-to-serve (per encounter-cl'!B9/12+'Cost-to-serve (per encounter-cl'!B10/12+'Staffing &amp; FTE'!Q29</f>
        <v>4166.666666666667</v>
      </c>
      <c r="I13" s="14">
        <f>'Staffing &amp; FTE'!R29+('Operating costs (fixed)'!B15-'Operating costs (fixed)'!B7)*(1+'Operating costs (fixed)'!B13)^(INT((A13-1)/12))+'Operating costs (fixed)'!B7*MIN(1,(A13-1)/12/'Operating costs (fixed)'!B8)+MAX(0,E13-E12)*'Operating costs (fixed)'!B11</f>
        <v>67111.111111111124</v>
      </c>
      <c r="J13" s="14">
        <f t="shared" si="1"/>
        <v>-71277.777777777796</v>
      </c>
      <c r="K13" s="14">
        <f>K12+J13+IF(A13='Financing &amp; returns'!B13,'Financing &amp; returns'!B12,0)</f>
        <v>3812055.555555556</v>
      </c>
      <c r="L13" s="55">
        <f>MIN('Throughput → collections'!B6,'Throughput → collections'!B5+('Throughput → collections'!B6-'Throughput → collections'!B5)*MIN(MAX(0,(A13-('Growth &amp; timing'!B5+1))/12),'Throughput → collections'!B7)/'Throughput → collections'!B7)</f>
        <v>20</v>
      </c>
      <c r="M13" s="14">
        <f>L13*'Throughput → collections'!B8*'Throughput → collections'!B9</f>
        <v>765000</v>
      </c>
      <c r="N13" s="14">
        <f>(Pricing!B7*Pricing!B5+(1-Pricing!B7)*Pricing!B6)+(M13*'Throughput → collections'!B10*Pricing!B8*Pricing!B9)/12</f>
        <v>3649.6262500000007</v>
      </c>
    </row>
    <row r="14" spans="1:14" x14ac:dyDescent="0.25">
      <c r="A14" s="135">
        <v>9</v>
      </c>
      <c r="B14" s="54" t="str">
        <f>IF(A14&lt;='Growth &amp; timing'!B5,"Dev",IF(A14&lt;='Growth &amp; timing'!B5+'Growth &amp; timing'!B9,"Testing","Explosion"))</f>
        <v>Dev</v>
      </c>
      <c r="C14" s="52">
        <f t="shared" si="2"/>
        <v>0</v>
      </c>
      <c r="D14" s="52">
        <f>IF(A14&lt;='Growth &amp; timing'!B5,0,IF(A14='Growth &amp; timing'!B5+1,'Growth &amp; timing'!B8,IF(A14&lt;='Growth &amp; timing'!B5+'Growth &amp; timing'!B9,D13*((1-'Growth &amp; timing'!B12)^(1/12))+'Growth &amp; timing'!B10,D13*(1+'Growth &amp; timing'!B11)^(1/12))))</f>
        <v>0</v>
      </c>
      <c r="E14" s="52">
        <f>ROUND(D14*'Growth &amp; timing'!B6,0)</f>
        <v>0</v>
      </c>
      <c r="F14" s="14">
        <f>E14*N14*IF(AND(A14&gt;='Growth &amp; timing'!B5+1,A14&lt;='Growth &amp; timing'!B5+12),'Growth &amp; timing'!B7,1)</f>
        <v>0</v>
      </c>
      <c r="G14" s="14">
        <f t="shared" si="0"/>
        <v>0</v>
      </c>
      <c r="H14" s="14">
        <f>E14*(L14*'Throughput → collections'!B8/12)*('AI-Scribe &amp; Azure'!B31+'Cost-to-serve (per encounter-cl'!B7)+E14*(L14*'Throughput → collections'!B8/12)*'Cost-to-serve (per encounter-cl'!B6*'Cost-to-serve (per encounter-cl'!B5+E14*'Cost-to-serve (per encounter-cl'!B9/12+'Cost-to-serve (per encounter-cl'!B10/12+'Staffing &amp; FTE'!Q30</f>
        <v>4166.666666666667</v>
      </c>
      <c r="I14" s="14">
        <f>'Staffing &amp; FTE'!R30+('Operating costs (fixed)'!B15-'Operating costs (fixed)'!B7)*(1+'Operating costs (fixed)'!B13)^(INT((A14-1)/12))+'Operating costs (fixed)'!B7*MIN(1,(A14-1)/12/'Operating costs (fixed)'!B8)+MAX(0,E14-E13)*'Operating costs (fixed)'!B11</f>
        <v>67222.222222222234</v>
      </c>
      <c r="J14" s="14">
        <f t="shared" si="1"/>
        <v>-71388.888888888905</v>
      </c>
      <c r="K14" s="14">
        <f>K13+J14+IF(A14='Financing &amp; returns'!B13,'Financing &amp; returns'!B12,0)</f>
        <v>3740666.666666667</v>
      </c>
      <c r="L14" s="55">
        <f>MIN('Throughput → collections'!B6,'Throughput → collections'!B5+('Throughput → collections'!B6-'Throughput → collections'!B5)*MIN(MAX(0,(A14-('Growth &amp; timing'!B5+1))/12),'Throughput → collections'!B7)/'Throughput → collections'!B7)</f>
        <v>20</v>
      </c>
      <c r="M14" s="14">
        <f>L14*'Throughput → collections'!B8*'Throughput → collections'!B9</f>
        <v>765000</v>
      </c>
      <c r="N14" s="14">
        <f>(Pricing!B7*Pricing!B5+(1-Pricing!B7)*Pricing!B6)+(M14*'Throughput → collections'!B10*Pricing!B8*Pricing!B9)/12</f>
        <v>3649.6262500000007</v>
      </c>
    </row>
    <row r="15" spans="1:14" x14ac:dyDescent="0.25">
      <c r="A15" s="135">
        <v>10</v>
      </c>
      <c r="B15" s="54" t="str">
        <f>IF(A15&lt;='Growth &amp; timing'!B5,"Dev",IF(A15&lt;='Growth &amp; timing'!B5+'Growth &amp; timing'!B9,"Testing","Explosion"))</f>
        <v>Dev</v>
      </c>
      <c r="C15" s="52">
        <f t="shared" si="2"/>
        <v>0</v>
      </c>
      <c r="D15" s="52">
        <f>IF(A15&lt;='Growth &amp; timing'!B5,0,IF(A15='Growth &amp; timing'!B5+1,'Growth &amp; timing'!B8,IF(A15&lt;='Growth &amp; timing'!B5+'Growth &amp; timing'!B9,D14*((1-'Growth &amp; timing'!B12)^(1/12))+'Growth &amp; timing'!B10,D14*(1+'Growth &amp; timing'!B11)^(1/12))))</f>
        <v>0</v>
      </c>
      <c r="E15" s="52">
        <f>ROUND(D15*'Growth &amp; timing'!B6,0)</f>
        <v>0</v>
      </c>
      <c r="F15" s="14">
        <f>E15*N15*IF(AND(A15&gt;='Growth &amp; timing'!B5+1,A15&lt;='Growth &amp; timing'!B5+12),'Growth &amp; timing'!B7,1)</f>
        <v>0</v>
      </c>
      <c r="G15" s="14">
        <f t="shared" si="0"/>
        <v>0</v>
      </c>
      <c r="H15" s="14">
        <f>E15*(L15*'Throughput → collections'!B8/12)*('AI-Scribe &amp; Azure'!B31+'Cost-to-serve (per encounter-cl'!B7)+E15*(L15*'Throughput → collections'!B8/12)*'Cost-to-serve (per encounter-cl'!B6*'Cost-to-serve (per encounter-cl'!B5+E15*'Cost-to-serve (per encounter-cl'!B9/12+'Cost-to-serve (per encounter-cl'!B10/12+'Staffing &amp; FTE'!Q31</f>
        <v>4166.666666666667</v>
      </c>
      <c r="I15" s="14">
        <f>'Staffing &amp; FTE'!R31+('Operating costs (fixed)'!B15-'Operating costs (fixed)'!B7)*(1+'Operating costs (fixed)'!B13)^(INT((A15-1)/12))+'Operating costs (fixed)'!B7*MIN(1,(A15-1)/12/'Operating costs (fixed)'!B8)+MAX(0,E15-E14)*'Operating costs (fixed)'!B11</f>
        <v>67333.333333333343</v>
      </c>
      <c r="J15" s="14">
        <f t="shared" si="1"/>
        <v>-71500.000000000015</v>
      </c>
      <c r="K15" s="14">
        <f>K14+J15+IF(A15='Financing &amp; returns'!B13,'Financing &amp; returns'!B12,0)</f>
        <v>3669166.666666667</v>
      </c>
      <c r="L15" s="55">
        <f>MIN('Throughput → collections'!B6,'Throughput → collections'!B5+('Throughput → collections'!B6-'Throughput → collections'!B5)*MIN(MAX(0,(A15-('Growth &amp; timing'!B5+1))/12),'Throughput → collections'!B7)/'Throughput → collections'!B7)</f>
        <v>20</v>
      </c>
      <c r="M15" s="14">
        <f>L15*'Throughput → collections'!B8*'Throughput → collections'!B9</f>
        <v>765000</v>
      </c>
      <c r="N15" s="14">
        <f>(Pricing!B7*Pricing!B5+(1-Pricing!B7)*Pricing!B6)+(M15*'Throughput → collections'!B10*Pricing!B8*Pricing!B9)/12</f>
        <v>3649.6262500000007</v>
      </c>
    </row>
    <row r="16" spans="1:14" x14ac:dyDescent="0.25">
      <c r="A16" s="135">
        <v>11</v>
      </c>
      <c r="B16" s="54" t="str">
        <f>IF(A16&lt;='Growth &amp; timing'!B5,"Dev",IF(A16&lt;='Growth &amp; timing'!B5+'Growth &amp; timing'!B9,"Testing","Explosion"))</f>
        <v>Testing</v>
      </c>
      <c r="C16" s="52">
        <f t="shared" si="2"/>
        <v>1</v>
      </c>
      <c r="D16" s="52">
        <f>IF(A16&lt;='Growth &amp; timing'!B5,0,IF(A16='Growth &amp; timing'!B5+1,'Growth &amp; timing'!B8,IF(A16&lt;='Growth &amp; timing'!B5+'Growth &amp; timing'!B9,D15*((1-'Growth &amp; timing'!B12)^(1/12))+'Growth &amp; timing'!B10,D15*(1+'Growth &amp; timing'!B11)^(1/12))))</f>
        <v>1</v>
      </c>
      <c r="E16" s="52">
        <f>ROUND(D16*'Growth &amp; timing'!B6,0)</f>
        <v>3</v>
      </c>
      <c r="F16" s="14">
        <f>E16*N16*IF(AND(A16&gt;='Growth &amp; timing'!B5+1,A16&lt;='Growth &amp; timing'!B5+12),'Growth &amp; timing'!B7,1)</f>
        <v>7664.2151250000006</v>
      </c>
      <c r="G16" s="14">
        <f t="shared" si="0"/>
        <v>131386.54500000001</v>
      </c>
      <c r="H16" s="14">
        <f>E16*(L16*'Throughput → collections'!B8/12)*('AI-Scribe &amp; Azure'!B31+'Cost-to-serve (per encounter-cl'!B7)+E16*(L16*'Throughput → collections'!B8/12)*'Cost-to-serve (per encounter-cl'!B6*'Cost-to-serve (per encounter-cl'!B5+E16*'Cost-to-serve (per encounter-cl'!B9/12+'Cost-to-serve (per encounter-cl'!B10/12+'Staffing &amp; FTE'!Q32</f>
        <v>5073.1150846354167</v>
      </c>
      <c r="I16" s="14">
        <f>'Staffing &amp; FTE'!R32+('Operating costs (fixed)'!B15-'Operating costs (fixed)'!B7)*(1+'Operating costs (fixed)'!B13)^(INT((A16-1)/12))+'Operating costs (fixed)'!B7*MIN(1,(A16-1)/12/'Operating costs (fixed)'!B8)+MAX(0,E16-E15)*'Operating costs (fixed)'!B11</f>
        <v>97444.444444444438</v>
      </c>
      <c r="J16" s="14">
        <f t="shared" si="1"/>
        <v>-94853.344404079849</v>
      </c>
      <c r="K16" s="14">
        <f>K15+J16+IF(A16='Financing &amp; returns'!B13,'Financing &amp; returns'!B12,0)</f>
        <v>3574313.322262587</v>
      </c>
      <c r="L16" s="55">
        <f>MIN('Throughput → collections'!B6,'Throughput → collections'!B5+('Throughput → collections'!B6-'Throughput → collections'!B5)*MIN(MAX(0,(A16-('Growth &amp; timing'!B5+1))/12),'Throughput → collections'!B7)/'Throughput → collections'!B7)</f>
        <v>20</v>
      </c>
      <c r="M16" s="14">
        <f>L16*'Throughput → collections'!B8*'Throughput → collections'!B9</f>
        <v>765000</v>
      </c>
      <c r="N16" s="14">
        <f>(Pricing!B7*Pricing!B5+(1-Pricing!B7)*Pricing!B6)+(M16*'Throughput → collections'!B10*Pricing!B8*Pricing!B9)/12</f>
        <v>3649.6262500000007</v>
      </c>
    </row>
    <row r="17" spans="1:14" x14ac:dyDescent="0.25">
      <c r="A17" s="135">
        <v>12</v>
      </c>
      <c r="B17" s="54" t="str">
        <f>IF(A17&lt;='Growth &amp; timing'!B5,"Dev",IF(A17&lt;='Growth &amp; timing'!B5+'Growth &amp; timing'!B9,"Testing","Explosion"))</f>
        <v>Testing</v>
      </c>
      <c r="C17" s="52">
        <f t="shared" si="2"/>
        <v>0.99573468122243947</v>
      </c>
      <c r="D17" s="52">
        <f>IF(A17&lt;='Growth &amp; timing'!B5,0,IF(A17='Growth &amp; timing'!B5+1,'Growth &amp; timing'!B8,IF(A17&lt;='Growth &amp; timing'!B5+'Growth &amp; timing'!B9,D16*((1-'Growth &amp; timing'!B12)^(1/12))+'Growth &amp; timing'!B10,D16*(1+'Growth &amp; timing'!B11)^(1/12))))</f>
        <v>1.9957346812224395</v>
      </c>
      <c r="E17" s="52">
        <f>ROUND(D17*'Growth &amp; timing'!B6,0)</f>
        <v>5</v>
      </c>
      <c r="F17" s="14">
        <f>E17*N17*IF(AND(A17&gt;='Growth &amp; timing'!B5+1,A17&lt;='Growth &amp; timing'!B5+12),'Growth &amp; timing'!B7,1)</f>
        <v>12895.049562499999</v>
      </c>
      <c r="G17" s="14">
        <f t="shared" si="0"/>
        <v>221057.99249999999</v>
      </c>
      <c r="H17" s="14">
        <f>E17*(L17*'Throughput → collections'!B8/12)*('AI-Scribe &amp; Azure'!B31+'Cost-to-serve (per encounter-cl'!B7)+E17*(L17*'Throughput → collections'!B8/12)*'Cost-to-serve (per encounter-cl'!B6*'Cost-to-serve (per encounter-cl'!B5+E17*'Cost-to-serve (per encounter-cl'!B9/12+'Cost-to-serve (per encounter-cl'!B10/12+'Staffing &amp; FTE'!Q33</f>
        <v>5692.8112228732643</v>
      </c>
      <c r="I17" s="14">
        <f>'Staffing &amp; FTE'!R33+('Operating costs (fixed)'!B15-'Operating costs (fixed)'!B7)*(1+'Operating costs (fixed)'!B13)^(INT((A17-1)/12))+'Operating costs (fixed)'!B7*MIN(1,(A17-1)/12/'Operating costs (fixed)'!B8)+MAX(0,E17-E16)*'Operating costs (fixed)'!B11</f>
        <v>112555.55555555555</v>
      </c>
      <c r="J17" s="14">
        <f t="shared" si="1"/>
        <v>-105353.31721592881</v>
      </c>
      <c r="K17" s="14">
        <f>K16+J17+IF(A17='Financing &amp; returns'!B13,'Financing &amp; returns'!B12,0)</f>
        <v>3468960.0050466582</v>
      </c>
      <c r="L17" s="55">
        <f>MIN('Throughput → collections'!B6,'Throughput → collections'!B5+('Throughput → collections'!B6-'Throughput → collections'!B5)*MIN(MAX(0,(A17-('Growth &amp; timing'!B5+1))/12),'Throughput → collections'!B7)/'Throughput → collections'!B7)</f>
        <v>20.222222222222221</v>
      </c>
      <c r="M17" s="14">
        <f>L17*'Throughput → collections'!B8*'Throughput → collections'!B9</f>
        <v>773499.99999999988</v>
      </c>
      <c r="N17" s="14">
        <f>(Pricing!B7*Pricing!B5+(1-Pricing!B7)*Pricing!B6)+(M17*'Throughput → collections'!B10*Pricing!B8*Pricing!B9)/12</f>
        <v>3684.2998750000002</v>
      </c>
    </row>
    <row r="18" spans="1:14" x14ac:dyDescent="0.25">
      <c r="A18" s="135">
        <v>13</v>
      </c>
      <c r="B18" s="54" t="str">
        <f>IF(A18&lt;='Growth &amp; timing'!B5,"Dev",IF(A18&lt;='Growth &amp; timing'!B5+'Growth &amp; timing'!B9,"Testing","Explosion"))</f>
        <v>Testing</v>
      </c>
      <c r="C18" s="52">
        <f t="shared" si="2"/>
        <v>0.99148755538915312</v>
      </c>
      <c r="D18" s="52">
        <f>IF(A18&lt;='Growth &amp; timing'!B5,0,IF(A18='Growth &amp; timing'!B5+1,'Growth &amp; timing'!B8,IF(A18&lt;='Growth &amp; timing'!B5+'Growth &amp; timing'!B9,D17*((1-'Growth &amp; timing'!B12)^(1/12))+'Growth &amp; timing'!B10,D17*(1+'Growth &amp; timing'!B11)^(1/12))))</f>
        <v>2.9872222366115926</v>
      </c>
      <c r="E18" s="52">
        <f>ROUND(D18*'Growth &amp; timing'!B6,0)</f>
        <v>7</v>
      </c>
      <c r="F18" s="14">
        <f>E18*N18*IF(AND(A18&gt;='Growth &amp; timing'!B5+1,A18&lt;='Growth &amp; timing'!B5+12),'Growth &amp; timing'!B7,1)</f>
        <v>18222.970150000001</v>
      </c>
      <c r="G18" s="14">
        <f t="shared" si="0"/>
        <v>312393.77400000003</v>
      </c>
      <c r="H18" s="14">
        <f>E18*(L18*'Throughput → collections'!B8/12)*('AI-Scribe &amp; Azure'!B31+'Cost-to-serve (per encounter-cl'!B7)+E18*(L18*'Throughput → collections'!B8/12)*'Cost-to-serve (per encounter-cl'!B6*'Cost-to-serve (per encounter-cl'!B5+E18*'Cost-to-serve (per encounter-cl'!B9/12+'Cost-to-serve (per encounter-cl'!B10/12+'Staffing &amp; FTE'!Q34</f>
        <v>6324.8251154513891</v>
      </c>
      <c r="I18" s="14">
        <f>'Staffing &amp; FTE'!R34+('Operating costs (fixed)'!B15-'Operating costs (fixed)'!B7)*(1+'Operating costs (fixed)'!B13)^(INT((A18-1)/12))+'Operating costs (fixed)'!B7*MIN(1,(A18-1)/12/'Operating costs (fixed)'!B8)+MAX(0,E18-E17)*'Operating costs (fixed)'!B11</f>
        <v>122234.01666666665</v>
      </c>
      <c r="J18" s="14">
        <f t="shared" si="1"/>
        <v>-110335.87163211804</v>
      </c>
      <c r="K18" s="14">
        <f>K17+J18+IF(A18='Financing &amp; returns'!B13,'Financing &amp; returns'!B12,0)</f>
        <v>3358624.13341454</v>
      </c>
      <c r="L18" s="55">
        <f>MIN('Throughput → collections'!B6,'Throughput → collections'!B5+('Throughput → collections'!B6-'Throughput → collections'!B5)*MIN(MAX(0,(A18-('Growth &amp; timing'!B5+1))/12),'Throughput → collections'!B7)/'Throughput → collections'!B7)</f>
        <v>20.444444444444443</v>
      </c>
      <c r="M18" s="14">
        <f>L18*'Throughput → collections'!B8*'Throughput → collections'!B9</f>
        <v>782000</v>
      </c>
      <c r="N18" s="14">
        <f>(Pricing!B7*Pricing!B5+(1-Pricing!B7)*Pricing!B6)+(M18*'Throughput → collections'!B10*Pricing!B8*Pricing!B9)/12</f>
        <v>3718.9735000000005</v>
      </c>
    </row>
    <row r="19" spans="1:14" x14ac:dyDescent="0.25">
      <c r="A19" s="135">
        <v>14</v>
      </c>
      <c r="B19" s="54" t="str">
        <f>IF(A19&lt;='Growth &amp; timing'!B5,"Dev",IF(A19&lt;='Growth &amp; timing'!B5+'Growth &amp; timing'!B9,"Testing","Explosion"))</f>
        <v>Testing</v>
      </c>
      <c r="C19" s="52">
        <f t="shared" si="2"/>
        <v>0.98725854490143394</v>
      </c>
      <c r="D19" s="52">
        <f>IF(A19&lt;='Growth &amp; timing'!B5,0,IF(A19='Growth &amp; timing'!B5+1,'Growth &amp; timing'!B8,IF(A19&lt;='Growth &amp; timing'!B5+'Growth &amp; timing'!B9,D18*((1-'Growth &amp; timing'!B12)^(1/12))+'Growth &amp; timing'!B10,D18*(1+'Growth &amp; timing'!B11)^(1/12))))</f>
        <v>3.9744807815130265</v>
      </c>
      <c r="E19" s="52">
        <f>ROUND(D19*'Growth &amp; timing'!B6,0)</f>
        <v>10</v>
      </c>
      <c r="F19" s="14">
        <f>E19*N19*IF(AND(A19&gt;='Growth &amp; timing'!B5+1,A19&lt;='Growth &amp; timing'!B5+12),'Growth &amp; timing'!B7,1)</f>
        <v>26275.529875000004</v>
      </c>
      <c r="G19" s="14">
        <f t="shared" si="0"/>
        <v>450437.65500000014</v>
      </c>
      <c r="H19" s="14">
        <f>E19*(L19*'Throughput → collections'!B8/12)*('AI-Scribe &amp; Azure'!B31+'Cost-to-serve (per encounter-cl'!B7)+E19*(L19*'Throughput → collections'!B8/12)*'Cost-to-serve (per encounter-cl'!B6*'Cost-to-serve (per encounter-cl'!B5+E19*'Cost-to-serve (per encounter-cl'!B9/12+'Cost-to-serve (per encounter-cl'!B10/12+'Staffing &amp; FTE'!Q35</f>
        <v>7280.544550781251</v>
      </c>
      <c r="I19" s="14">
        <f>'Staffing &amp; FTE'!R35+('Operating costs (fixed)'!B15-'Operating costs (fixed)'!B7)*(1+'Operating costs (fixed)'!B13)^(INT((A19-1)/12))+'Operating costs (fixed)'!B7*MIN(1,(A19-1)/12/'Operating costs (fixed)'!B8)+MAX(0,E19-E18)*'Operating costs (fixed)'!B11</f>
        <v>134845.12777777776</v>
      </c>
      <c r="J19" s="14">
        <f t="shared" si="1"/>
        <v>-115850.142453559</v>
      </c>
      <c r="K19" s="14">
        <f>K18+J19+IF(A19='Financing &amp; returns'!B13,'Financing &amp; returns'!B12,0)</f>
        <v>3242773.9909609808</v>
      </c>
      <c r="L19" s="55">
        <f>MIN('Throughput → collections'!B6,'Throughput → collections'!B5+('Throughput → collections'!B6-'Throughput → collections'!B5)*MIN(MAX(0,(A19-('Growth &amp; timing'!B5+1))/12),'Throughput → collections'!B7)/'Throughput → collections'!B7)</f>
        <v>20.666666666666668</v>
      </c>
      <c r="M19" s="14">
        <f>L19*'Throughput → collections'!B8*'Throughput → collections'!B9</f>
        <v>790500</v>
      </c>
      <c r="N19" s="14">
        <f>(Pricing!B7*Pricing!B5+(1-Pricing!B7)*Pricing!B6)+(M19*'Throughput → collections'!B10*Pricing!B8*Pricing!B9)/12</f>
        <v>3753.6471250000009</v>
      </c>
    </row>
    <row r="20" spans="1:14" x14ac:dyDescent="0.25">
      <c r="A20" s="135">
        <v>15</v>
      </c>
      <c r="B20" s="54" t="str">
        <f>IF(A20&lt;='Growth &amp; timing'!B5,"Dev",IF(A20&lt;='Growth &amp; timing'!B5+'Growth &amp; timing'!B9,"Testing","Explosion"))</f>
        <v>Testing</v>
      </c>
      <c r="C20" s="52">
        <f t="shared" si="2"/>
        <v>0.98304757249155905</v>
      </c>
      <c r="D20" s="52">
        <f>IF(A20&lt;='Growth &amp; timing'!B5,0,IF(A20='Growth &amp; timing'!B5+1,'Growth &amp; timing'!B8,IF(A20&lt;='Growth &amp; timing'!B5+'Growth &amp; timing'!B9,D19*((1-'Growth &amp; timing'!B12)^(1/12))+'Growth &amp; timing'!B10,D19*(1+'Growth &amp; timing'!B11)^(1/12))))</f>
        <v>4.9575283540045856</v>
      </c>
      <c r="E20" s="52">
        <f>ROUND(D20*'Growth &amp; timing'!B6,0)</f>
        <v>12</v>
      </c>
      <c r="F20" s="14">
        <f>E20*N20*IF(AND(A20&gt;='Growth &amp; timing'!B5+1,A20&lt;='Growth &amp; timing'!B5+12),'Growth &amp; timing'!B7,1)</f>
        <v>31821.894300000004</v>
      </c>
      <c r="G20" s="14">
        <f t="shared" si="0"/>
        <v>545518.18800000008</v>
      </c>
      <c r="H20" s="14">
        <f>E20*(L20*'Throughput → collections'!B8/12)*('AI-Scribe &amp; Azure'!B31+'Cost-to-serve (per encounter-cl'!B7)+E20*(L20*'Throughput → collections'!B8/12)*'Cost-to-serve (per encounter-cl'!B6*'Cost-to-serve (per encounter-cl'!B5+E20*'Cost-to-serve (per encounter-cl'!B9/12+'Cost-to-serve (per encounter-cl'!B10/12+'Staffing &amp; FTE'!Q36</f>
        <v>7940.2733906250005</v>
      </c>
      <c r="I20" s="14">
        <f>'Staffing &amp; FTE'!R36+('Operating costs (fixed)'!B15-'Operating costs (fixed)'!B7)*(1+'Operating costs (fixed)'!B13)^(INT((A20-1)/12))+'Operating costs (fixed)'!B7*MIN(1,(A20-1)/12/'Operating costs (fixed)'!B8)+MAX(0,E20-E19)*'Operating costs (fixed)'!B11</f>
        <v>134956.23888888888</v>
      </c>
      <c r="J20" s="14">
        <f t="shared" si="1"/>
        <v>-111074.61797951387</v>
      </c>
      <c r="K20" s="14">
        <f>K19+J20+IF(A20='Financing &amp; returns'!B13,'Financing &amp; returns'!B12,0)</f>
        <v>3131699.3729814668</v>
      </c>
      <c r="L20" s="55">
        <f>MIN('Throughput → collections'!B6,'Throughput → collections'!B5+('Throughput → collections'!B6-'Throughput → collections'!B5)*MIN(MAX(0,(A20-('Growth &amp; timing'!B5+1))/12),'Throughput → collections'!B7)/'Throughput → collections'!B7)</f>
        <v>20.888888888888889</v>
      </c>
      <c r="M20" s="14">
        <f>L20*'Throughput → collections'!B8*'Throughput → collections'!B9</f>
        <v>799000</v>
      </c>
      <c r="N20" s="14">
        <f>(Pricing!B7*Pricing!B5+(1-Pricing!B7)*Pricing!B6)+(M20*'Throughput → collections'!B10*Pricing!B8*Pricing!B9)/12</f>
        <v>3788.3207500000008</v>
      </c>
    </row>
    <row r="21" spans="1:14" x14ac:dyDescent="0.25">
      <c r="A21" s="135">
        <v>16</v>
      </c>
      <c r="B21" s="54" t="str">
        <f>IF(A21&lt;='Growth &amp; timing'!B5,"Dev",IF(A21&lt;='Growth &amp; timing'!B5+'Growth &amp; timing'!B9,"Testing","Explosion"))</f>
        <v>Testing</v>
      </c>
      <c r="C21" s="52">
        <f t="shared" si="2"/>
        <v>0.97885456122137526</v>
      </c>
      <c r="D21" s="52">
        <f>IF(A21&lt;='Growth &amp; timing'!B5,0,IF(A21='Growth &amp; timing'!B5+1,'Growth &amp; timing'!B8,IF(A21&lt;='Growth &amp; timing'!B5+'Growth &amp; timing'!B9,D20*((1-'Growth &amp; timing'!B12)^(1/12))+'Growth &amp; timing'!B10,D20*(1+'Growth &amp; timing'!B11)^(1/12))))</f>
        <v>5.9363829152259608</v>
      </c>
      <c r="E21" s="52">
        <f>ROUND(D21*'Growth &amp; timing'!B6,0)</f>
        <v>15</v>
      </c>
      <c r="F21" s="14">
        <f>E21*N21*IF(AND(A21&gt;='Growth &amp; timing'!B5+1,A21&lt;='Growth &amp; timing'!B5+12),'Growth &amp; timing'!B7,1)</f>
        <v>40141.440937500003</v>
      </c>
      <c r="G21" s="14">
        <f t="shared" si="0"/>
        <v>688138.98750000005</v>
      </c>
      <c r="H21" s="14">
        <f>E21*(L21*'Throughput → collections'!B8/12)*('AI-Scribe &amp; Azure'!B31+'Cost-to-serve (per encounter-cl'!B7)+E21*(L21*'Throughput → collections'!B8/12)*'Cost-to-serve (per encounter-cl'!B6*'Cost-to-serve (per encounter-cl'!B5+E21*'Cost-to-serve (per encounter-cl'!B9/12+'Cost-to-serve (per encounter-cl'!B10/12+'Staffing &amp; FTE'!Q37</f>
        <v>8929.8666503906243</v>
      </c>
      <c r="I21" s="14">
        <f>'Staffing &amp; FTE'!R37+('Operating costs (fixed)'!B15-'Operating costs (fixed)'!B7)*(1+'Operating costs (fixed)'!B13)^(INT((A21-1)/12))+'Operating costs (fixed)'!B7*MIN(1,(A21-1)/12/'Operating costs (fixed)'!B8)+MAX(0,E21-E20)*'Operating costs (fixed)'!B11</f>
        <v>135067.34999999998</v>
      </c>
      <c r="J21" s="14">
        <f t="shared" si="1"/>
        <v>-103855.77571289059</v>
      </c>
      <c r="K21" s="14">
        <f>K20+J21+IF(A21='Financing &amp; returns'!B13,'Financing &amp; returns'!B12,0)</f>
        <v>3027843.5972685763</v>
      </c>
      <c r="L21" s="55">
        <f>MIN('Throughput → collections'!B6,'Throughput → collections'!B5+('Throughput → collections'!B6-'Throughput → collections'!B5)*MIN(MAX(0,(A21-('Growth &amp; timing'!B5+1))/12),'Throughput → collections'!B7)/'Throughput → collections'!B7)</f>
        <v>21.111111111111111</v>
      </c>
      <c r="M21" s="14">
        <f>L21*'Throughput → collections'!B8*'Throughput → collections'!B9</f>
        <v>807500</v>
      </c>
      <c r="N21" s="14">
        <f>(Pricing!B7*Pricing!B5+(1-Pricing!B7)*Pricing!B6)+(M21*'Throughput → collections'!B10*Pricing!B8*Pricing!B9)/12</f>
        <v>3822.9943750000007</v>
      </c>
    </row>
    <row r="22" spans="1:14" x14ac:dyDescent="0.25">
      <c r="A22" s="135">
        <v>17</v>
      </c>
      <c r="B22" s="54" t="str">
        <f>IF(A22&lt;='Growth &amp; timing'!B5,"Dev",IF(A22&lt;='Growth &amp; timing'!B5+'Growth &amp; timing'!B9,"Testing","Explosion"))</f>
        <v>Explosion</v>
      </c>
      <c r="C22" s="52">
        <f t="shared" si="2"/>
        <v>0.44706126312092209</v>
      </c>
      <c r="D22" s="52">
        <f>IF(A22&lt;='Growth &amp; timing'!B5,0,IF(A22='Growth &amp; timing'!B5+1,'Growth &amp; timing'!B8,IF(A22&lt;='Growth &amp; timing'!B5+'Growth &amp; timing'!B9,D21*((1-'Growth &amp; timing'!B12)^(1/12))+'Growth &amp; timing'!B10,D21*(1+'Growth &amp; timing'!B11)^(1/12))))</f>
        <v>6.3834441783468829</v>
      </c>
      <c r="E22" s="52">
        <f>ROUND(D22*'Growth &amp; timing'!B6,0)</f>
        <v>16</v>
      </c>
      <c r="F22" s="14">
        <f>E22*N22*IF(AND(A22&gt;='Growth &amp; timing'!B5+1,A22&lt;='Growth &amp; timing'!B5+12),'Growth &amp; timing'!B7,1)</f>
        <v>43205.881600000001</v>
      </c>
      <c r="G22" s="14">
        <f t="shared" si="0"/>
        <v>740672.25600000005</v>
      </c>
      <c r="H22" s="14">
        <f>E22*(L22*'Throughput → collections'!B8/12)*('AI-Scribe &amp; Azure'!B31+'Cost-to-serve (per encounter-cl'!B7)+E22*(L22*'Throughput → collections'!B8/12)*'Cost-to-serve (per encounter-cl'!B6*'Cost-to-serve (per encounter-cl'!B5+E22*'Cost-to-serve (per encounter-cl'!B9/12+'Cost-to-serve (per encounter-cl'!B10/12+'Staffing &amp; FTE'!Q38</f>
        <v>16796.684333333335</v>
      </c>
      <c r="I22" s="14">
        <f>'Staffing &amp; FTE'!R38+('Operating costs (fixed)'!B15-'Operating costs (fixed)'!B7)*(1+'Operating costs (fixed)'!B13)^(INT((A22-1)/12))+'Operating costs (fixed)'!B7*MIN(1,(A22-1)/12/'Operating costs (fixed)'!B8)+MAX(0,E22-E21)*'Operating costs (fixed)'!B11</f>
        <v>135178.4611111111</v>
      </c>
      <c r="J22" s="14">
        <f t="shared" si="1"/>
        <v>-108769.26384444443</v>
      </c>
      <c r="K22" s="14">
        <f>K21+J22+IF(A22='Financing &amp; returns'!B13,'Financing &amp; returns'!B12,0)</f>
        <v>2919074.3334241319</v>
      </c>
      <c r="L22" s="55">
        <f>MIN('Throughput → collections'!B6,'Throughput → collections'!B5+('Throughput → collections'!B6-'Throughput → collections'!B5)*MIN(MAX(0,(A22-('Growth &amp; timing'!B5+1))/12),'Throughput → collections'!B7)/'Throughput → collections'!B7)</f>
        <v>21.333333333333332</v>
      </c>
      <c r="M22" s="14">
        <f>L22*'Throughput → collections'!B8*'Throughput → collections'!B9</f>
        <v>816000</v>
      </c>
      <c r="N22" s="14">
        <f>(Pricing!B7*Pricing!B5+(1-Pricing!B7)*Pricing!B6)+(M22*'Throughput → collections'!B10*Pricing!B8*Pricing!B9)/12</f>
        <v>3857.6680000000001</v>
      </c>
    </row>
    <row r="23" spans="1:14" x14ac:dyDescent="0.25">
      <c r="A23" s="135">
        <v>18</v>
      </c>
      <c r="B23" s="54" t="str">
        <f>IF(A23&lt;='Growth &amp; timing'!B5,"Dev",IF(A23&lt;='Growth &amp; timing'!B5+'Growth &amp; timing'!B9,"Testing","Explosion"))</f>
        <v>Explosion</v>
      </c>
      <c r="C23" s="52">
        <f t="shared" si="2"/>
        <v>0.48072886439216944</v>
      </c>
      <c r="D23" s="52">
        <f>IF(A23&lt;='Growth &amp; timing'!B5,0,IF(A23='Growth &amp; timing'!B5+1,'Growth &amp; timing'!B8,IF(A23&lt;='Growth &amp; timing'!B5+'Growth &amp; timing'!B9,D22*((1-'Growth &amp; timing'!B12)^(1/12))+'Growth &amp; timing'!B10,D22*(1+'Growth &amp; timing'!B11)^(1/12))))</f>
        <v>6.8641730427390524</v>
      </c>
      <c r="E23" s="52">
        <f>ROUND(D23*'Growth &amp; timing'!B6,0)</f>
        <v>17</v>
      </c>
      <c r="F23" s="14">
        <f>E23*N23*IF(AND(A23&gt;='Growth &amp; timing'!B5+1,A23&lt;='Growth &amp; timing'!B5+12),'Growth &amp; timing'!B7,1)</f>
        <v>46318.865337500007</v>
      </c>
      <c r="G23" s="14">
        <f t="shared" si="0"/>
        <v>794037.69150000019</v>
      </c>
      <c r="H23" s="14">
        <f>E23*(L23*'Throughput → collections'!B8/12)*('AI-Scribe &amp; Azure'!B31+'Cost-to-serve (per encounter-cl'!B7)+E23*(L23*'Throughput → collections'!B8/12)*'Cost-to-serve (per encounter-cl'!B6*'Cost-to-serve (per encounter-cl'!B5+E23*'Cost-to-serve (per encounter-cl'!B9/12+'Cost-to-serve (per encounter-cl'!B10/12+'Staffing &amp; FTE'!Q39</f>
        <v>17169.66089344618</v>
      </c>
      <c r="I23" s="14">
        <f>'Staffing &amp; FTE'!R39+('Operating costs (fixed)'!B15-'Operating costs (fixed)'!B7)*(1+'Operating costs (fixed)'!B13)^(INT((A23-1)/12))+'Operating costs (fixed)'!B7*MIN(1,(A23-1)/12/'Operating costs (fixed)'!B8)+MAX(0,E23-E22)*'Operating costs (fixed)'!B11</f>
        <v>151956.23888888888</v>
      </c>
      <c r="J23" s="14">
        <f t="shared" si="1"/>
        <v>-122807.03444483505</v>
      </c>
      <c r="K23" s="14">
        <f>K22+J23+IF(A23='Financing &amp; returns'!B13,'Financing &amp; returns'!B12,0)</f>
        <v>2796267.2989792968</v>
      </c>
      <c r="L23" s="55">
        <f>MIN('Throughput → collections'!B6,'Throughput → collections'!B5+('Throughput → collections'!B6-'Throughput → collections'!B5)*MIN(MAX(0,(A23-('Growth &amp; timing'!B5+1))/12),'Throughput → collections'!B7)/'Throughput → collections'!B7)</f>
        <v>21.555555555555557</v>
      </c>
      <c r="M23" s="14">
        <f>L23*'Throughput → collections'!B8*'Throughput → collections'!B9</f>
        <v>824500</v>
      </c>
      <c r="N23" s="14">
        <f>(Pricing!B7*Pricing!B5+(1-Pricing!B7)*Pricing!B6)+(M23*'Throughput → collections'!B10*Pricing!B8*Pricing!B9)/12</f>
        <v>3892.3416250000009</v>
      </c>
    </row>
    <row r="24" spans="1:14" x14ac:dyDescent="0.25">
      <c r="A24" s="135">
        <v>19</v>
      </c>
      <c r="B24" s="54" t="str">
        <f>IF(A24&lt;='Growth &amp; timing'!B5,"Dev",IF(A24&lt;='Growth &amp; timing'!B5+'Growth &amp; timing'!B9,"Testing","Explosion"))</f>
        <v>Explosion</v>
      </c>
      <c r="C24" s="52">
        <f t="shared" si="2"/>
        <v>0.5169319288512737</v>
      </c>
      <c r="D24" s="52">
        <f>IF(A24&lt;='Growth &amp; timing'!B5,0,IF(A24='Growth &amp; timing'!B5+1,'Growth &amp; timing'!B8,IF(A24&lt;='Growth &amp; timing'!B5+'Growth &amp; timing'!B9,D23*((1-'Growth &amp; timing'!B12)^(1/12))+'Growth &amp; timing'!B10,D23*(1+'Growth &amp; timing'!B11)^(1/12))))</f>
        <v>7.3811049715903261</v>
      </c>
      <c r="E24" s="52">
        <f>ROUND(D24*'Growth &amp; timing'!B6,0)</f>
        <v>18</v>
      </c>
      <c r="F24" s="14">
        <f>E24*N24*IF(AND(A24&gt;='Growth &amp; timing'!B5+1,A24&lt;='Growth &amp; timing'!B5+12),'Growth &amp; timing'!B7,1)</f>
        <v>49480.392150000007</v>
      </c>
      <c r="G24" s="14">
        <f t="shared" si="0"/>
        <v>848235.29400000023</v>
      </c>
      <c r="H24" s="14">
        <f>E24*(L24*'Throughput → collections'!B8/12)*('AI-Scribe &amp; Azure'!B31+'Cost-to-serve (per encounter-cl'!B7)+E24*(L24*'Throughput → collections'!B8/12)*'Cost-to-serve (per encounter-cl'!B6*'Cost-to-serve (per encounter-cl'!B5+E24*'Cost-to-serve (per encounter-cl'!B9/12+'Cost-to-serve (per encounter-cl'!B10/12+'Staffing &amp; FTE'!Q40</f>
        <v>17548.796330729165</v>
      </c>
      <c r="I24" s="14">
        <f>'Staffing &amp; FTE'!R40+('Operating costs (fixed)'!B15-'Operating costs (fixed)'!B7)*(1+'Operating costs (fixed)'!B13)^(INT((A24-1)/12))+'Operating costs (fixed)'!B7*MIN(1,(A24-1)/12/'Operating costs (fixed)'!B8)+MAX(0,E24-E23)*'Operating costs (fixed)'!B11</f>
        <v>161234.01666666666</v>
      </c>
      <c r="J24" s="14">
        <f t="shared" si="1"/>
        <v>-129302.42084739581</v>
      </c>
      <c r="K24" s="14">
        <f>K23+J24+IF(A24='Financing &amp; returns'!B13,'Financing &amp; returns'!B12,0)</f>
        <v>2666964.8781319009</v>
      </c>
      <c r="L24" s="55">
        <f>MIN('Throughput → collections'!B6,'Throughput → collections'!B5+('Throughput → collections'!B6-'Throughput → collections'!B5)*MIN(MAX(0,(A24-('Growth &amp; timing'!B5+1))/12),'Throughput → collections'!B7)/'Throughput → collections'!B7)</f>
        <v>21.777777777777779</v>
      </c>
      <c r="M24" s="14">
        <f>L24*'Throughput → collections'!B8*'Throughput → collections'!B9</f>
        <v>833000.00000000012</v>
      </c>
      <c r="N24" s="14">
        <f>(Pricing!B7*Pricing!B5+(1-Pricing!B7)*Pricing!B6)+(M24*'Throughput → collections'!B10*Pricing!B8*Pricing!B9)/12</f>
        <v>3927.0152500000008</v>
      </c>
    </row>
    <row r="25" spans="1:14" x14ac:dyDescent="0.25">
      <c r="A25" s="135">
        <v>20</v>
      </c>
      <c r="B25" s="54" t="str">
        <f>IF(A25&lt;='Growth &amp; timing'!B5,"Dev",IF(A25&lt;='Growth &amp; timing'!B5+'Growth &amp; timing'!B9,"Testing","Explosion"))</f>
        <v>Explosion</v>
      </c>
      <c r="C25" s="52">
        <f t="shared" si="2"/>
        <v>0.55586139892758002</v>
      </c>
      <c r="D25" s="52">
        <f>IF(A25&lt;='Growth &amp; timing'!B5,0,IF(A25='Growth &amp; timing'!B5+1,'Growth &amp; timing'!B8,IF(A25&lt;='Growth &amp; timing'!B5+'Growth &amp; timing'!B9,D24*((1-'Growth &amp; timing'!B12)^(1/12))+'Growth &amp; timing'!B10,D24*(1+'Growth &amp; timing'!B11)^(1/12))))</f>
        <v>7.9369663705179061</v>
      </c>
      <c r="E25" s="52">
        <f>ROUND(D25*'Growth &amp; timing'!B6,0)</f>
        <v>20</v>
      </c>
      <c r="F25" s="14">
        <f>E25*N25*IF(AND(A25&gt;='Growth &amp; timing'!B5+1,A25&lt;='Growth &amp; timing'!B5+12),'Growth &amp; timing'!B7,1)</f>
        <v>55463.644250000005</v>
      </c>
      <c r="G25" s="14">
        <f t="shared" si="0"/>
        <v>950805.33000000007</v>
      </c>
      <c r="H25" s="14">
        <f>E25*(L25*'Throughput → collections'!B8/12)*('AI-Scribe &amp; Azure'!B31+'Cost-to-serve (per encounter-cl'!B7)+E25*(L25*'Throughput → collections'!B8/12)*'Cost-to-serve (per encounter-cl'!B6*'Cost-to-serve (per encounter-cl'!B5+E25*'Cost-to-serve (per encounter-cl'!B9/12+'Cost-to-serve (per encounter-cl'!B10/12+'Staffing &amp; FTE'!Q41</f>
        <v>18263.955065104168</v>
      </c>
      <c r="I25" s="14">
        <f>'Staffing &amp; FTE'!R41+('Operating costs (fixed)'!B15-'Operating costs (fixed)'!B7)*(1+'Operating costs (fixed)'!B13)^(INT((A25-1)/12))+'Operating costs (fixed)'!B7*MIN(1,(A25-1)/12/'Operating costs (fixed)'!B8)+MAX(0,E25-E24)*'Operating costs (fixed)'!B11</f>
        <v>161345.12777777779</v>
      </c>
      <c r="J25" s="14">
        <f t="shared" si="1"/>
        <v>-124145.43859288195</v>
      </c>
      <c r="K25" s="14">
        <f>K24+J25+IF(A25='Financing &amp; returns'!B13,'Financing &amp; returns'!B12,0)</f>
        <v>2542819.439539019</v>
      </c>
      <c r="L25" s="55">
        <f>MIN('Throughput → collections'!B6,'Throughput → collections'!B5+('Throughput → collections'!B6-'Throughput → collections'!B5)*MIN(MAX(0,(A25-('Growth &amp; timing'!B5+1))/12),'Throughput → collections'!B7)/'Throughput → collections'!B7)</f>
        <v>22</v>
      </c>
      <c r="M25" s="14">
        <f>L25*'Throughput → collections'!B8*'Throughput → collections'!B9</f>
        <v>841500</v>
      </c>
      <c r="N25" s="14">
        <f>(Pricing!B7*Pricing!B5+(1-Pricing!B7)*Pricing!B6)+(M25*'Throughput → collections'!B10*Pricing!B8*Pricing!B9)/12</f>
        <v>3961.6888750000003</v>
      </c>
    </row>
    <row r="26" spans="1:14" x14ac:dyDescent="0.25">
      <c r="A26" s="135">
        <v>21</v>
      </c>
      <c r="B26" s="54" t="str">
        <f>IF(A26&lt;='Growth &amp; timing'!B5,"Dev",IF(A26&lt;='Growth &amp; timing'!B5+'Growth &amp; timing'!B9,"Testing","Explosion"))</f>
        <v>Explosion</v>
      </c>
      <c r="C26" s="52">
        <f t="shared" si="2"/>
        <v>0.59772259667601801</v>
      </c>
      <c r="D26" s="52">
        <f>IF(A26&lt;='Growth &amp; timing'!B5,0,IF(A26='Growth &amp; timing'!B5+1,'Growth &amp; timing'!B8,IF(A26&lt;='Growth &amp; timing'!B5+'Growth &amp; timing'!B9,D25*((1-'Growth &amp; timing'!B12)^(1/12))+'Growth &amp; timing'!B10,D25*(1+'Growth &amp; timing'!B11)^(1/12))))</f>
        <v>8.5346889671939241</v>
      </c>
      <c r="E26" s="52">
        <f>ROUND(D26*'Growth &amp; timing'!B6,0)</f>
        <v>21</v>
      </c>
      <c r="F26" s="14">
        <f>E26*N26*IF(AND(A26&gt;='Growth &amp; timing'!B5+1,A26&lt;='Growth &amp; timing'!B5+12),'Growth &amp; timing'!B7,1)</f>
        <v>58746.52874999999</v>
      </c>
      <c r="G26" s="14">
        <f t="shared" si="0"/>
        <v>1007083.3499999999</v>
      </c>
      <c r="H26" s="14">
        <f>E26*(L26*'Throughput → collections'!B8/12)*('AI-Scribe &amp; Azure'!B31+'Cost-to-serve (per encounter-cl'!B7)+E26*(L26*'Throughput → collections'!B8/12)*'Cost-to-serve (per encounter-cl'!B6*'Cost-to-serve (per encounter-cl'!B5+E26*'Cost-to-serve (per encounter-cl'!B9/12+'Cost-to-serve (per encounter-cl'!B10/12+'Staffing &amp; FTE'!Q42</f>
        <v>18658.487695312499</v>
      </c>
      <c r="I26" s="14">
        <f>'Staffing &amp; FTE'!R42+('Operating costs (fixed)'!B15-'Operating costs (fixed)'!B7)*(1+'Operating costs (fixed)'!B13)^(INT((A26-1)/12))+'Operating costs (fixed)'!B7*MIN(1,(A26-1)/12/'Operating costs (fixed)'!B8)+MAX(0,E26-E25)*'Operating costs (fixed)'!B11</f>
        <v>161456.23888888888</v>
      </c>
      <c r="J26" s="14">
        <f t="shared" si="1"/>
        <v>-121368.19783420139</v>
      </c>
      <c r="K26" s="14">
        <f>K25+J26+IF(A26='Financing &amp; returns'!B13,'Financing &amp; returns'!B12,0)</f>
        <v>2421451.2417048179</v>
      </c>
      <c r="L26" s="55">
        <f>MIN('Throughput → collections'!B6,'Throughput → collections'!B5+('Throughput → collections'!B6-'Throughput → collections'!B5)*MIN(MAX(0,(A26-('Growth &amp; timing'!B5+1))/12),'Throughput → collections'!B7)/'Throughput → collections'!B7)</f>
        <v>22.222222222222221</v>
      </c>
      <c r="M26" s="14">
        <f>L26*'Throughput → collections'!B8*'Throughput → collections'!B9</f>
        <v>849999.99999999988</v>
      </c>
      <c r="N26" s="14">
        <f>(Pricing!B7*Pricing!B5+(1-Pricing!B7)*Pricing!B6)+(M26*'Throughput → collections'!B10*Pricing!B8*Pricing!B9)/12</f>
        <v>3996.3624999999997</v>
      </c>
    </row>
    <row r="27" spans="1:14" x14ac:dyDescent="0.25">
      <c r="A27" s="135">
        <v>22</v>
      </c>
      <c r="B27" s="54" t="str">
        <f>IF(A27&lt;='Growth &amp; timing'!B5,"Dev",IF(A27&lt;='Growth &amp; timing'!B5+'Growth &amp; timing'!B9,"Testing","Explosion"))</f>
        <v>Explosion</v>
      </c>
      <c r="C27" s="52">
        <f t="shared" si="2"/>
        <v>0.6427363066879721</v>
      </c>
      <c r="D27" s="52">
        <f>IF(A27&lt;='Growth &amp; timing'!B5,0,IF(A27='Growth &amp; timing'!B5+1,'Growth &amp; timing'!B8,IF(A27&lt;='Growth &amp; timing'!B5+'Growth &amp; timing'!B9,D26*((1-'Growth &amp; timing'!B12)^(1/12))+'Growth &amp; timing'!B10,D26*(1+'Growth &amp; timing'!B11)^(1/12))))</f>
        <v>9.1774252738818962</v>
      </c>
      <c r="E27" s="52">
        <f>ROUND(D27*'Growth &amp; timing'!B6,0)</f>
        <v>23</v>
      </c>
      <c r="F27" s="14">
        <f>E27*N27*IF(AND(A27&gt;='Growth &amp; timing'!B5+1,A27&lt;='Growth &amp; timing'!B5+12),'Growth &amp; timing'!B7,1)</f>
        <v>64899.681612500004</v>
      </c>
      <c r="G27" s="14">
        <f t="shared" si="0"/>
        <v>1112565.9705000003</v>
      </c>
      <c r="H27" s="14">
        <f>E27*(L27*'Throughput → collections'!B8/12)*('AI-Scribe &amp; Azure'!B31+'Cost-to-serve (per encounter-cl'!B7)+E27*(L27*'Throughput → collections'!B8/12)*'Cost-to-serve (per encounter-cl'!B6*'Cost-to-serve (per encounter-cl'!B5+E27*'Cost-to-serve (per encounter-cl'!B9/12+'Cost-to-serve (per encounter-cl'!B10/12+'Staffing &amp; FTE'!Q43</f>
        <v>19395.202499782987</v>
      </c>
      <c r="I27" s="14">
        <f>'Staffing &amp; FTE'!R43+('Operating costs (fixed)'!B15-'Operating costs (fixed)'!B7)*(1+'Operating costs (fixed)'!B13)^(INT((A27-1)/12))+'Operating costs (fixed)'!B7*MIN(1,(A27-1)/12/'Operating costs (fixed)'!B8)+MAX(0,E27-E26)*'Operating costs (fixed)'!B11</f>
        <v>174067.35</v>
      </c>
      <c r="J27" s="14">
        <f t="shared" si="1"/>
        <v>-128562.87088728299</v>
      </c>
      <c r="K27" s="14">
        <f>K26+J27+IF(A27='Financing &amp; returns'!B13,'Financing &amp; returns'!B12,0)</f>
        <v>2292888.3708175351</v>
      </c>
      <c r="L27" s="55">
        <f>MIN('Throughput → collections'!B6,'Throughput → collections'!B5+('Throughput → collections'!B6-'Throughput → collections'!B5)*MIN(MAX(0,(A27-('Growth &amp; timing'!B5+1))/12),'Throughput → collections'!B7)/'Throughput → collections'!B7)</f>
        <v>22.444444444444443</v>
      </c>
      <c r="M27" s="14">
        <f>L27*'Throughput → collections'!B8*'Throughput → collections'!B9</f>
        <v>858500</v>
      </c>
      <c r="N27" s="14">
        <f>(Pricing!B7*Pricing!B5+(1-Pricing!B7)*Pricing!B6)+(M27*'Throughput → collections'!B10*Pricing!B8*Pricing!B9)/12</f>
        <v>4031.0361250000005</v>
      </c>
    </row>
    <row r="28" spans="1:14" x14ac:dyDescent="0.25">
      <c r="A28" s="135">
        <v>23</v>
      </c>
      <c r="B28" s="54" t="str">
        <f>IF(A28&lt;='Growth &amp; timing'!B5,"Dev",IF(A28&lt;='Growth &amp; timing'!B5+'Growth &amp; timing'!B9,"Testing","Explosion"))</f>
        <v>Explosion</v>
      </c>
      <c r="C28" s="52">
        <f t="shared" si="2"/>
        <v>0.69113994055475203</v>
      </c>
      <c r="D28" s="52">
        <f>IF(A28&lt;='Growth &amp; timing'!B5,0,IF(A28='Growth &amp; timing'!B5+1,'Growth &amp; timing'!B8,IF(A28&lt;='Growth &amp; timing'!B5+'Growth &amp; timing'!B9,D27*((1-'Growth &amp; timing'!B12)^(1/12))+'Growth &amp; timing'!B10,D27*(1+'Growth &amp; timing'!B11)^(1/12))))</f>
        <v>9.8685652144366482</v>
      </c>
      <c r="E28" s="52">
        <f>ROUND(D28*'Growth &amp; timing'!B6,0)</f>
        <v>25</v>
      </c>
      <c r="F28" s="14">
        <f>E28*N28*IF(AND(A28&gt;='Growth &amp; timing'!B5+1,A28&lt;='Growth &amp; timing'!B5+12),'Growth &amp; timing'!B7,1)</f>
        <v>101642.74375000001</v>
      </c>
      <c r="G28" s="14">
        <f t="shared" si="0"/>
        <v>1219712.925</v>
      </c>
      <c r="H28" s="14">
        <f>E28*(L28*'Throughput → collections'!B8/12)*('AI-Scribe &amp; Azure'!B31+'Cost-to-serve (per encounter-cl'!B7)+E28*(L28*'Throughput → collections'!B8/12)*'Cost-to-serve (per encounter-cl'!B6*'Cost-to-serve (per encounter-cl'!B5+E28*'Cost-to-serve (per encounter-cl'!B9/12+'Cost-to-serve (per encounter-cl'!B10/12+'Staffing &amp; FTE'!Q44</f>
        <v>20144.235058593753</v>
      </c>
      <c r="I28" s="14">
        <f>'Staffing &amp; FTE'!R44+('Operating costs (fixed)'!B15-'Operating costs (fixed)'!B7)*(1+'Operating costs (fixed)'!B13)^(INT((A28-1)/12))+'Operating costs (fixed)'!B7*MIN(1,(A28-1)/12/'Operating costs (fixed)'!B8)+MAX(0,E28-E27)*'Operating costs (fixed)'!B11</f>
        <v>174178.4611111111</v>
      </c>
      <c r="J28" s="14">
        <f t="shared" si="1"/>
        <v>-92679.952419704845</v>
      </c>
      <c r="K28" s="14">
        <f>K27+J28+IF(A28='Financing &amp; returns'!B13,'Financing &amp; returns'!B12,0)</f>
        <v>2200208.4183978303</v>
      </c>
      <c r="L28" s="55">
        <f>MIN('Throughput → collections'!B6,'Throughput → collections'!B5+('Throughput → collections'!B6-'Throughput → collections'!B5)*MIN(MAX(0,(A28-('Growth &amp; timing'!B5+1))/12),'Throughput → collections'!B7)/'Throughput → collections'!B7)</f>
        <v>22.666666666666668</v>
      </c>
      <c r="M28" s="14">
        <f>L28*'Throughput → collections'!B8*'Throughput → collections'!B9</f>
        <v>867000</v>
      </c>
      <c r="N28" s="14">
        <f>(Pricing!B7*Pricing!B5+(1-Pricing!B7)*Pricing!B6)+(M28*'Throughput → collections'!B10*Pricing!B8*Pricing!B9)/12</f>
        <v>4065.7097500000004</v>
      </c>
    </row>
    <row r="29" spans="1:14" x14ac:dyDescent="0.25">
      <c r="A29" s="135">
        <v>24</v>
      </c>
      <c r="B29" s="54" t="str">
        <f>IF(A29&lt;='Growth &amp; timing'!B5,"Dev",IF(A29&lt;='Growth &amp; timing'!B5+'Growth &amp; timing'!B9,"Testing","Explosion"))</f>
        <v>Explosion</v>
      </c>
      <c r="C29" s="52">
        <f t="shared" si="2"/>
        <v>0.74318878902529661</v>
      </c>
      <c r="D29" s="52">
        <f>IF(A29&lt;='Growth &amp; timing'!B5,0,IF(A29='Growth &amp; timing'!B5+1,'Growth &amp; timing'!B8,IF(A29&lt;='Growth &amp; timing'!B5+'Growth &amp; timing'!B9,D28*((1-'Growth &amp; timing'!B12)^(1/12))+'Growth &amp; timing'!B10,D28*(1+'Growth &amp; timing'!B11)^(1/12))))</f>
        <v>10.611754003461945</v>
      </c>
      <c r="E29" s="52">
        <f>ROUND(D29*'Growth &amp; timing'!B6,0)</f>
        <v>27</v>
      </c>
      <c r="F29" s="14">
        <f>E29*N29*IF(AND(A29&gt;='Growth &amp; timing'!B5+1,A29&lt;='Growth &amp; timing'!B5+12),'Growth &amp; timing'!B7,1)</f>
        <v>110710.35112500003</v>
      </c>
      <c r="G29" s="14">
        <f t="shared" si="0"/>
        <v>1328524.2135000003</v>
      </c>
      <c r="H29" s="14">
        <f>E29*(L29*'Throughput → collections'!B8/12)*('AI-Scribe &amp; Azure'!B31+'Cost-to-serve (per encounter-cl'!B7)+E29*(L29*'Throughput → collections'!B8/12)*'Cost-to-serve (per encounter-cl'!B6*'Cost-to-serve (per encounter-cl'!B5+E29*'Cost-to-serve (per encounter-cl'!B9/12+'Cost-to-serve (per encounter-cl'!B10/12+'Staffing &amp; FTE'!Q45</f>
        <v>20905.58537174479</v>
      </c>
      <c r="I29" s="14">
        <f>'Staffing &amp; FTE'!R45+('Operating costs (fixed)'!B15-'Operating costs (fixed)'!B7)*(1+'Operating costs (fixed)'!B13)^(INT((A29-1)/12))+'Operating costs (fixed)'!B7*MIN(1,(A29-1)/12/'Operating costs (fixed)'!B8)+MAX(0,E29-E28)*'Operating costs (fixed)'!B11</f>
        <v>174289.57222222222</v>
      </c>
      <c r="J29" s="14">
        <f t="shared" si="1"/>
        <v>-84484.806468966985</v>
      </c>
      <c r="K29" s="14">
        <f>K28+J29+IF(A29='Financing &amp; returns'!B13,'Financing &amp; returns'!B12,0)</f>
        <v>2115723.6119288635</v>
      </c>
      <c r="L29" s="55">
        <f>MIN('Throughput → collections'!B6,'Throughput → collections'!B5+('Throughput → collections'!B6-'Throughput → collections'!B5)*MIN(MAX(0,(A29-('Growth &amp; timing'!B5+1))/12),'Throughput → collections'!B7)/'Throughput → collections'!B7)</f>
        <v>22.888888888888889</v>
      </c>
      <c r="M29" s="14">
        <f>L29*'Throughput → collections'!B8*'Throughput → collections'!B9</f>
        <v>875500</v>
      </c>
      <c r="N29" s="14">
        <f>(Pricing!B7*Pricing!B5+(1-Pricing!B7)*Pricing!B6)+(M29*'Throughput → collections'!B10*Pricing!B8*Pricing!B9)/12</f>
        <v>4100.3833750000013</v>
      </c>
    </row>
    <row r="30" spans="1:14" x14ac:dyDescent="0.25">
      <c r="A30" s="135">
        <v>25</v>
      </c>
      <c r="B30" s="54" t="str">
        <f>IF(A30&lt;='Growth &amp; timing'!B5,"Dev",IF(A30&lt;='Growth &amp; timing'!B5+'Growth &amp; timing'!B9,"Testing","Explosion"))</f>
        <v>Explosion</v>
      </c>
      <c r="C30" s="52">
        <f t="shared" si="2"/>
        <v>0.79915736846224306</v>
      </c>
      <c r="D30" s="52">
        <f>IF(A30&lt;='Growth &amp; timing'!B5,0,IF(A30='Growth &amp; timing'!B5+1,'Growth &amp; timing'!B8,IF(A30&lt;='Growth &amp; timing'!B5+'Growth &amp; timing'!B9,D29*((1-'Growth &amp; timing'!B12)^(1/12))+'Growth &amp; timing'!B10,D29*(1+'Growth &amp; timing'!B11)^(1/12))))</f>
        <v>11.410911371924188</v>
      </c>
      <c r="E30" s="52">
        <f>ROUND(D30*'Growth &amp; timing'!B6,0)</f>
        <v>29</v>
      </c>
      <c r="F30" s="14">
        <f>E30*N30*IF(AND(A30&gt;='Growth &amp; timing'!B5+1,A30&lt;='Growth &amp; timing'!B5+12),'Growth &amp; timing'!B7,1)</f>
        <v>119916.65300000002</v>
      </c>
      <c r="G30" s="14">
        <f t="shared" si="0"/>
        <v>1438999.8360000001</v>
      </c>
      <c r="H30" s="14">
        <f>E30*(L30*'Throughput → collections'!B8/12)*('AI-Scribe &amp; Azure'!B31+'Cost-to-serve (per encounter-cl'!B7)+E30*(L30*'Throughput → collections'!B8/12)*'Cost-to-serve (per encounter-cl'!B6*'Cost-to-serve (per encounter-cl'!B5+E30*'Cost-to-serve (per encounter-cl'!B9/12+'Cost-to-serve (per encounter-cl'!B10/12+'Staffing &amp; FTE'!Q46</f>
        <v>21679.253439236112</v>
      </c>
      <c r="I30" s="14">
        <f>'Staffing &amp; FTE'!R46+('Operating costs (fixed)'!B15-'Operating costs (fixed)'!B7)*(1+'Operating costs (fixed)'!B13)^(INT((A30-1)/12))+'Operating costs (fixed)'!B7*MIN(1,(A30-1)/12/'Operating costs (fixed)'!B8)+MAX(0,E30-E29)*'Operating costs (fixed)'!B11</f>
        <v>198433.11557833329</v>
      </c>
      <c r="J30" s="14">
        <f t="shared" si="1"/>
        <v>-100195.71601756939</v>
      </c>
      <c r="K30" s="14">
        <f>K29+J30+IF(A30='Financing &amp; returns'!B13,'Financing &amp; returns'!B12,0)</f>
        <v>2015527.895911294</v>
      </c>
      <c r="L30" s="55">
        <f>MIN('Throughput → collections'!B6,'Throughput → collections'!B5+('Throughput → collections'!B6-'Throughput → collections'!B5)*MIN(MAX(0,(A30-('Growth &amp; timing'!B5+1))/12),'Throughput → collections'!B7)/'Throughput → collections'!B7)</f>
        <v>23.111111111111111</v>
      </c>
      <c r="M30" s="14">
        <f>L30*'Throughput → collections'!B8*'Throughput → collections'!B9</f>
        <v>884000</v>
      </c>
      <c r="N30" s="14">
        <f>(Pricing!B7*Pricing!B5+(1-Pricing!B7)*Pricing!B6)+(M30*'Throughput → collections'!B10*Pricing!B8*Pricing!B9)/12</f>
        <v>4135.0570000000007</v>
      </c>
    </row>
    <row r="31" spans="1:14" x14ac:dyDescent="0.25">
      <c r="A31" s="135">
        <v>26</v>
      </c>
      <c r="B31" s="54" t="str">
        <f>IF(A31&lt;='Growth &amp; timing'!B5,"Dev",IF(A31&lt;='Growth &amp; timing'!B5+'Growth &amp; timing'!B9,"Testing","Explosion"))</f>
        <v>Explosion</v>
      </c>
      <c r="C31" s="52">
        <f t="shared" si="2"/>
        <v>0.85934086869784387</v>
      </c>
      <c r="D31" s="52">
        <f>IF(A31&lt;='Growth &amp; timing'!B5,0,IF(A31='Growth &amp; timing'!B5+1,'Growth &amp; timing'!B8,IF(A31&lt;='Growth &amp; timing'!B5+'Growth &amp; timing'!B9,D30*((1-'Growth &amp; timing'!B12)^(1/12))+'Growth &amp; timing'!B10,D30*(1+'Growth &amp; timing'!B11)^(1/12))))</f>
        <v>12.270252240622032</v>
      </c>
      <c r="E31" s="52">
        <f>ROUND(D31*'Growth &amp; timing'!B6,0)</f>
        <v>31</v>
      </c>
      <c r="F31" s="14">
        <f>E31*N31*IF(AND(A31&gt;='Growth &amp; timing'!B5+1,A31&lt;='Growth &amp; timing'!B5+12),'Growth &amp; timing'!B7,1)</f>
        <v>129261.64937500001</v>
      </c>
      <c r="G31" s="14">
        <f t="shared" si="0"/>
        <v>1551139.7925</v>
      </c>
      <c r="H31" s="14">
        <f>E31*(L31*'Throughput → collections'!B8/12)*('AI-Scribe &amp; Azure'!B31+'Cost-to-serve (per encounter-cl'!B7)+E31*(L31*'Throughput → collections'!B8/12)*'Cost-to-serve (per encounter-cl'!B6*'Cost-to-serve (per encounter-cl'!B5+E31*'Cost-to-serve (per encounter-cl'!B9/12+'Cost-to-serve (per encounter-cl'!B10/12+'Staffing &amp; FTE'!Q47</f>
        <v>22465.239261067709</v>
      </c>
      <c r="I31" s="14">
        <f>'Staffing &amp; FTE'!R47+('Operating costs (fixed)'!B15-'Operating costs (fixed)'!B7)*(1+'Operating costs (fixed)'!B13)^(INT((A31-1)/12))+'Operating costs (fixed)'!B7*MIN(1,(A31-1)/12/'Operating costs (fixed)'!B8)+MAX(0,E31-E30)*'Operating costs (fixed)'!B11</f>
        <v>198544.22668944442</v>
      </c>
      <c r="J31" s="14">
        <f t="shared" si="1"/>
        <v>-91747.816575512115</v>
      </c>
      <c r="K31" s="14">
        <f>K30+J31+IF(A31='Financing &amp; returns'!B13,'Financing &amp; returns'!B12,0)</f>
        <v>1923780.079335782</v>
      </c>
      <c r="L31" s="55">
        <f>MIN('Throughput → collections'!B6,'Throughput → collections'!B5+('Throughput → collections'!B6-'Throughput → collections'!B5)*MIN(MAX(0,(A31-('Growth &amp; timing'!B5+1))/12),'Throughput → collections'!B7)/'Throughput → collections'!B7)</f>
        <v>23.333333333333332</v>
      </c>
      <c r="M31" s="14">
        <f>L31*'Throughput → collections'!B8*'Throughput → collections'!B9</f>
        <v>892500</v>
      </c>
      <c r="N31" s="14">
        <f>(Pricing!B7*Pricing!B5+(1-Pricing!B7)*Pricing!B6)+(M31*'Throughput → collections'!B10*Pricing!B8*Pricing!B9)/12</f>
        <v>4169.7306250000001</v>
      </c>
    </row>
    <row r="32" spans="1:14" x14ac:dyDescent="0.25">
      <c r="A32" s="135">
        <v>27</v>
      </c>
      <c r="B32" s="54" t="str">
        <f>IF(A32&lt;='Growth &amp; timing'!B5,"Dev",IF(A32&lt;='Growth &amp; timing'!B5+'Growth &amp; timing'!B9,"Testing","Explosion"))</f>
        <v>Explosion</v>
      </c>
      <c r="C32" s="52">
        <f t="shared" si="2"/>
        <v>0.92405670992603106</v>
      </c>
      <c r="D32" s="52">
        <f>IF(A32&lt;='Growth &amp; timing'!B5,0,IF(A32='Growth &amp; timing'!B5+1,'Growth &amp; timing'!B8,IF(A32&lt;='Growth &amp; timing'!B5+'Growth &amp; timing'!B9,D31*((1-'Growth &amp; timing'!B12)^(1/12))+'Growth &amp; timing'!B10,D31*(1+'Growth &amp; timing'!B11)^(1/12))))</f>
        <v>13.194308950548063</v>
      </c>
      <c r="E32" s="52">
        <f>ROUND(D32*'Growth &amp; timing'!B6,0)</f>
        <v>33</v>
      </c>
      <c r="F32" s="14">
        <f>E32*N32*IF(AND(A32&gt;='Growth &amp; timing'!B5+1,A32&lt;='Growth &amp; timing'!B5+12),'Growth &amp; timing'!B7,1)</f>
        <v>138745.34025000004</v>
      </c>
      <c r="G32" s="14">
        <f t="shared" si="0"/>
        <v>1664944.0830000006</v>
      </c>
      <c r="H32" s="14">
        <f>E32*(L32*'Throughput → collections'!B8/12)*('AI-Scribe &amp; Azure'!B31+'Cost-to-serve (per encounter-cl'!B7)+E32*(L32*'Throughput → collections'!B8/12)*'Cost-to-serve (per encounter-cl'!B6*'Cost-to-serve (per encounter-cl'!B5+E32*'Cost-to-serve (per encounter-cl'!B9/12+'Cost-to-serve (per encounter-cl'!B10/12+'Staffing &amp; FTE'!Q48</f>
        <v>23263.542837239587</v>
      </c>
      <c r="I32" s="14">
        <f>'Staffing &amp; FTE'!R48+('Operating costs (fixed)'!B15-'Operating costs (fixed)'!B7)*(1+'Operating costs (fixed)'!B13)^(INT((A32-1)/12))+'Operating costs (fixed)'!B7*MIN(1,(A32-1)/12/'Operating costs (fixed)'!B8)+MAX(0,E32-E31)*'Operating costs (fixed)'!B11</f>
        <v>198655.33780055551</v>
      </c>
      <c r="J32" s="14">
        <f t="shared" si="1"/>
        <v>-83173.540387795059</v>
      </c>
      <c r="K32" s="14">
        <f>K31+J32+IF(A32='Financing &amp; returns'!B13,'Financing &amp; returns'!B12,0)</f>
        <v>1840606.5389479869</v>
      </c>
      <c r="L32" s="55">
        <f>MIN('Throughput → collections'!B6,'Throughput → collections'!B5+('Throughput → collections'!B6-'Throughput → collections'!B5)*MIN(MAX(0,(A32-('Growth &amp; timing'!B5+1))/12),'Throughput → collections'!B7)/'Throughput → collections'!B7)</f>
        <v>23.555555555555557</v>
      </c>
      <c r="M32" s="14">
        <f>L32*'Throughput → collections'!B8*'Throughput → collections'!B9</f>
        <v>901000</v>
      </c>
      <c r="N32" s="14">
        <f>(Pricing!B7*Pricing!B5+(1-Pricing!B7)*Pricing!B6)+(M32*'Throughput → collections'!B10*Pricing!B8*Pricing!B9)/12</f>
        <v>4204.4042500000014</v>
      </c>
    </row>
    <row r="33" spans="1:14" x14ac:dyDescent="0.25">
      <c r="A33" s="135">
        <v>28</v>
      </c>
      <c r="B33" s="54" t="str">
        <f>IF(A33&lt;='Growth &amp; timing'!B5,"Dev",IF(A33&lt;='Growth &amp; timing'!B5+'Growth &amp; timing'!B9,"Testing","Explosion"))</f>
        <v>Explosion</v>
      </c>
      <c r="C33" s="52">
        <f t="shared" si="2"/>
        <v>0.99364621684198973</v>
      </c>
      <c r="D33" s="52">
        <f>IF(A33&lt;='Growth &amp; timing'!B5,0,IF(A33='Growth &amp; timing'!B5+1,'Growth &amp; timing'!B8,IF(A33&lt;='Growth &amp; timing'!B5+'Growth &amp; timing'!B9,D32*((1-'Growth &amp; timing'!B12)^(1/12))+'Growth &amp; timing'!B10,D32*(1+'Growth &amp; timing'!B11)^(1/12))))</f>
        <v>14.187955167390053</v>
      </c>
      <c r="E33" s="52">
        <f>ROUND(D33*'Growth &amp; timing'!B6,0)</f>
        <v>35</v>
      </c>
      <c r="F33" s="14">
        <f>E33*N33*IF(AND(A33&gt;='Growth &amp; timing'!B5+1,A33&lt;='Growth &amp; timing'!B5+12),'Growth &amp; timing'!B7,1)</f>
        <v>148367.72562500002</v>
      </c>
      <c r="G33" s="14">
        <f t="shared" si="0"/>
        <v>1780412.7075000003</v>
      </c>
      <c r="H33" s="14">
        <f>E33*(L33*'Throughput → collections'!B8/12)*('AI-Scribe &amp; Azure'!B31+'Cost-to-serve (per encounter-cl'!B7)+E33*(L33*'Throughput → collections'!B8/12)*'Cost-to-serve (per encounter-cl'!B6*'Cost-to-serve (per encounter-cl'!B5+E33*'Cost-to-serve (per encounter-cl'!B9/12+'Cost-to-serve (per encounter-cl'!B10/12+'Staffing &amp; FTE'!Q49</f>
        <v>24074.164167751736</v>
      </c>
      <c r="I33" s="14">
        <f>'Staffing &amp; FTE'!R49+('Operating costs (fixed)'!B15-'Operating costs (fixed)'!B7)*(1+'Operating costs (fixed)'!B13)^(INT((A33-1)/12))+'Operating costs (fixed)'!B7*MIN(1,(A33-1)/12/'Operating costs (fixed)'!B8)+MAX(0,E33-E32)*'Operating costs (fixed)'!B11</f>
        <v>198766.44891166664</v>
      </c>
      <c r="J33" s="14">
        <f t="shared" si="1"/>
        <v>-74472.887454418349</v>
      </c>
      <c r="K33" s="14">
        <f>K32+J33+IF(A33='Financing &amp; returns'!B13,'Financing &amp; returns'!B12,0)</f>
        <v>1766133.6514935684</v>
      </c>
      <c r="L33" s="55">
        <f>MIN('Throughput → collections'!B6,'Throughput → collections'!B5+('Throughput → collections'!B6-'Throughput → collections'!B5)*MIN(MAX(0,(A33-('Growth &amp; timing'!B5+1))/12),'Throughput → collections'!B7)/'Throughput → collections'!B7)</f>
        <v>23.777777777777779</v>
      </c>
      <c r="M33" s="14">
        <f>L33*'Throughput → collections'!B8*'Throughput → collections'!B9</f>
        <v>909500.00000000012</v>
      </c>
      <c r="N33" s="14">
        <f>(Pricing!B7*Pricing!B5+(1-Pricing!B7)*Pricing!B6)+(M33*'Throughput → collections'!B10*Pricing!B8*Pricing!B9)/12</f>
        <v>4239.0778750000009</v>
      </c>
    </row>
    <row r="34" spans="1:14" x14ac:dyDescent="0.25">
      <c r="A34" s="135">
        <v>29</v>
      </c>
      <c r="B34" s="54" t="str">
        <f>IF(A34&lt;='Growth &amp; timing'!B5,"Dev",IF(A34&lt;='Growth &amp; timing'!B5+'Growth &amp; timing'!B9,"Testing","Explosion"))</f>
        <v>Explosion</v>
      </c>
      <c r="C34" s="52">
        <f t="shared" si="2"/>
        <v>1.068476418859003</v>
      </c>
      <c r="D34" s="52">
        <f>IF(A34&lt;='Growth &amp; timing'!B5,0,IF(A34='Growth &amp; timing'!B5+1,'Growth &amp; timing'!B8,IF(A34&lt;='Growth &amp; timing'!B5+'Growth &amp; timing'!B9,D33*((1-'Growth &amp; timing'!B12)^(1/12))+'Growth &amp; timing'!B10,D33*(1+'Growth &amp; timing'!B11)^(1/12))))</f>
        <v>15.256431586249056</v>
      </c>
      <c r="E34" s="52">
        <f>ROUND(D34*'Growth &amp; timing'!B6,0)</f>
        <v>38</v>
      </c>
      <c r="F34" s="14">
        <f>E34*N34*IF(AND(A34&gt;='Growth &amp; timing'!B5+1,A34&lt;='Growth &amp; timing'!B5+12),'Growth &amp; timing'!B7,1)</f>
        <v>162402.557</v>
      </c>
      <c r="G34" s="14">
        <f t="shared" si="0"/>
        <v>1948830.6839999999</v>
      </c>
      <c r="H34" s="14">
        <f>E34*(L34*'Throughput → collections'!B8/12)*('AI-Scribe &amp; Azure'!B31+'Cost-to-serve (per encounter-cl'!B7)+E34*(L34*'Throughput → collections'!B8/12)*'Cost-to-serve (per encounter-cl'!B6*'Cost-to-serve (per encounter-cl'!B5+E34*'Cost-to-serve (per encounter-cl'!B9/12+'Cost-to-serve (per encounter-cl'!B10/12+'Staffing &amp; FTE'!Q50</f>
        <v>58088.015953125003</v>
      </c>
      <c r="I34" s="14">
        <f>'Staffing &amp; FTE'!R50+('Operating costs (fixed)'!B15-'Operating costs (fixed)'!B7)*(1+'Operating costs (fixed)'!B13)^(INT((A34-1)/12))+'Operating costs (fixed)'!B7*MIN(1,(A34-1)/12/'Operating costs (fixed)'!B8)+MAX(0,E34-E33)*'Operating costs (fixed)'!B11</f>
        <v>206377.56002277776</v>
      </c>
      <c r="J34" s="14">
        <f t="shared" si="1"/>
        <v>-102063.01897590276</v>
      </c>
      <c r="K34" s="14">
        <f>K33+J34+IF(A34='Financing &amp; returns'!B13,'Financing &amp; returns'!B12,0)</f>
        <v>1664070.6325176656</v>
      </c>
      <c r="L34" s="55">
        <f>MIN('Throughput → collections'!B6,'Throughput → collections'!B5+('Throughput → collections'!B6-'Throughput → collections'!B5)*MIN(MAX(0,(A34-('Growth &amp; timing'!B5+1))/12),'Throughput → collections'!B7)/'Throughput → collections'!B7)</f>
        <v>24</v>
      </c>
      <c r="M34" s="14">
        <f>L34*'Throughput → collections'!B8*'Throughput → collections'!B9</f>
        <v>918000</v>
      </c>
      <c r="N34" s="14">
        <f>(Pricing!B7*Pricing!B5+(1-Pricing!B7)*Pricing!B6)+(M34*'Throughput → collections'!B10*Pricing!B8*Pricing!B9)/12</f>
        <v>4273.7515000000003</v>
      </c>
    </row>
    <row r="35" spans="1:14" x14ac:dyDescent="0.25">
      <c r="A35" s="135">
        <v>30</v>
      </c>
      <c r="B35" s="54" t="str">
        <f>IF(A35&lt;='Growth &amp; timing'!B5,"Dev",IF(A35&lt;='Growth &amp; timing'!B5+'Growth &amp; timing'!B9,"Testing","Explosion"))</f>
        <v>Explosion</v>
      </c>
      <c r="C35" s="52">
        <f t="shared" si="2"/>
        <v>1.1489419858972862</v>
      </c>
      <c r="D35" s="52">
        <f>IF(A35&lt;='Growth &amp; timing'!B5,0,IF(A35='Growth &amp; timing'!B5+1,'Growth &amp; timing'!B8,IF(A35&lt;='Growth &amp; timing'!B5+'Growth &amp; timing'!B9,D34*((1-'Growth &amp; timing'!B12)^(1/12))+'Growth &amp; timing'!B10,D34*(1+'Growth &amp; timing'!B11)^(1/12))))</f>
        <v>16.405373572146342</v>
      </c>
      <c r="E35" s="52">
        <f>ROUND(D35*'Growth &amp; timing'!B6,0)</f>
        <v>41</v>
      </c>
      <c r="F35" s="14">
        <f>E35*N35*IF(AND(A35&gt;='Growth &amp; timing'!B5+1,A35&lt;='Growth &amp; timing'!B5+12),'Growth &amp; timing'!B7,1)</f>
        <v>176645.43012499998</v>
      </c>
      <c r="G35" s="14">
        <f t="shared" si="0"/>
        <v>2119745.1614999999</v>
      </c>
      <c r="H35" s="14">
        <f>E35*(L35*'Throughput → collections'!B8/12)*('AI-Scribe &amp; Azure'!B31+'Cost-to-serve (per encounter-cl'!B7)+E35*(L35*'Throughput → collections'!B8/12)*'Cost-to-serve (per encounter-cl'!B6*'Cost-to-serve (per encounter-cl'!B5+E35*'Cost-to-serve (per encounter-cl'!B9/12+'Cost-to-serve (per encounter-cl'!B10/12+'Staffing &amp; FTE'!Q51</f>
        <v>59287.011036675351</v>
      </c>
      <c r="I35" s="14">
        <f>'Staffing &amp; FTE'!R51+('Operating costs (fixed)'!B15-'Operating costs (fixed)'!B7)*(1+'Operating costs (fixed)'!B13)^(INT((A35-1)/12))+'Operating costs (fixed)'!B7*MIN(1,(A35-1)/12/'Operating costs (fixed)'!B8)+MAX(0,E35-E34)*'Operating costs (fixed)'!B11</f>
        <v>230655.33780055554</v>
      </c>
      <c r="J35" s="14">
        <f t="shared" si="1"/>
        <v>-113296.91871223091</v>
      </c>
      <c r="K35" s="14">
        <f>K34+J35+IF(A35='Financing &amp; returns'!B13,'Financing &amp; returns'!B12,0)</f>
        <v>1550773.7138054348</v>
      </c>
      <c r="L35" s="55">
        <f>MIN('Throughput → collections'!B6,'Throughput → collections'!B5+('Throughput → collections'!B6-'Throughput → collections'!B5)*MIN(MAX(0,(A35-('Growth &amp; timing'!B5+1))/12),'Throughput → collections'!B7)/'Throughput → collections'!B7)</f>
        <v>24.222222222222221</v>
      </c>
      <c r="M35" s="14">
        <f>L35*'Throughput → collections'!B8*'Throughput → collections'!B9</f>
        <v>926499.99999999988</v>
      </c>
      <c r="N35" s="14">
        <f>(Pricing!B7*Pricing!B5+(1-Pricing!B7)*Pricing!B6)+(M35*'Throughput → collections'!B10*Pricing!B8*Pricing!B9)/12</f>
        <v>4308.4251249999998</v>
      </c>
    </row>
    <row r="36" spans="1:14" x14ac:dyDescent="0.25">
      <c r="A36" s="135">
        <v>31</v>
      </c>
      <c r="B36" s="54" t="str">
        <f>IF(A36&lt;='Growth &amp; timing'!B5,"Dev",IF(A36&lt;='Growth &amp; timing'!B5+'Growth &amp; timing'!B9,"Testing","Explosion"))</f>
        <v>Explosion</v>
      </c>
      <c r="C36" s="52">
        <f t="shared" si="2"/>
        <v>1.2354673099545437</v>
      </c>
      <c r="D36" s="52">
        <f>IF(A36&lt;='Growth &amp; timing'!B5,0,IF(A36='Growth &amp; timing'!B5+1,'Growth &amp; timing'!B8,IF(A36&lt;='Growth &amp; timing'!B5+'Growth &amp; timing'!B9,D35*((1-'Growth &amp; timing'!B12)^(1/12))+'Growth &amp; timing'!B10,D35*(1+'Growth &amp; timing'!B11)^(1/12))))</f>
        <v>17.640840882100886</v>
      </c>
      <c r="E36" s="52">
        <f>ROUND(D36*'Growth &amp; timing'!B6,0)</f>
        <v>44</v>
      </c>
      <c r="F36" s="14">
        <f>E36*N36*IF(AND(A36&gt;='Growth &amp; timing'!B5+1,A36&lt;='Growth &amp; timing'!B5+12),'Growth &amp; timing'!B7,1)</f>
        <v>191096.34500000003</v>
      </c>
      <c r="G36" s="14">
        <f t="shared" si="0"/>
        <v>2293156.1400000006</v>
      </c>
      <c r="H36" s="14">
        <f>E36*(L36*'Throughput → collections'!B8/12)*('AI-Scribe &amp; Azure'!B31+'Cost-to-serve (per encounter-cl'!B7)+E36*(L36*'Throughput → collections'!B8/12)*'Cost-to-serve (per encounter-cl'!B6*'Cost-to-serve (per encounter-cl'!B5+E36*'Cost-to-serve (per encounter-cl'!B9/12+'Cost-to-serve (per encounter-cl'!B10/12+'Staffing &amp; FTE'!Q52</f>
        <v>65504.482751736112</v>
      </c>
      <c r="I36" s="14">
        <f>'Staffing &amp; FTE'!R52+('Operating costs (fixed)'!B15-'Operating costs (fixed)'!B7)*(1+'Operating costs (fixed)'!B13)^(INT((A36-1)/12))+'Operating costs (fixed)'!B7*MIN(1,(A36-1)/12/'Operating costs (fixed)'!B8)+MAX(0,E36-E35)*'Operating costs (fixed)'!B11</f>
        <v>230766.44891166667</v>
      </c>
      <c r="J36" s="14">
        <f t="shared" si="1"/>
        <v>-105174.58666340275</v>
      </c>
      <c r="K36" s="14">
        <f>K35+J36+IF(A36='Financing &amp; returns'!B13,'Financing &amp; returns'!B12,0)</f>
        <v>1445599.1271420319</v>
      </c>
      <c r="L36" s="55">
        <f>MIN('Throughput → collections'!B6,'Throughput → collections'!B5+('Throughput → collections'!B6-'Throughput → collections'!B5)*MIN(MAX(0,(A36-('Growth &amp; timing'!B5+1))/12),'Throughput → collections'!B7)/'Throughput → collections'!B7)</f>
        <v>24.444444444444443</v>
      </c>
      <c r="M36" s="14">
        <f>L36*'Throughput → collections'!B8*'Throughput → collections'!B9</f>
        <v>935000</v>
      </c>
      <c r="N36" s="14">
        <f>(Pricing!B7*Pricing!B5+(1-Pricing!B7)*Pricing!B6)+(M36*'Throughput → collections'!B10*Pricing!B8*Pricing!B9)/12</f>
        <v>4343.098750000001</v>
      </c>
    </row>
    <row r="37" spans="1:14" x14ac:dyDescent="0.25">
      <c r="A37" s="135">
        <v>32</v>
      </c>
      <c r="B37" s="54" t="str">
        <f>IF(A37&lt;='Growth &amp; timing'!B5,"Dev",IF(A37&lt;='Growth &amp; timing'!B5+'Growth &amp; timing'!B9,"Testing","Explosion"))</f>
        <v>Explosion</v>
      </c>
      <c r="C37" s="52">
        <f t="shared" si="2"/>
        <v>1.3285087434369167</v>
      </c>
      <c r="D37" s="52">
        <f>IF(A37&lt;='Growth &amp; timing'!B5,0,IF(A37='Growth &amp; timing'!B5+1,'Growth &amp; timing'!B8,IF(A37&lt;='Growth &amp; timing'!B5+'Growth &amp; timing'!B9,D36*((1-'Growth &amp; timing'!B12)^(1/12))+'Growth &amp; timing'!B10,D36*(1+'Growth &amp; timing'!B11)^(1/12))))</f>
        <v>18.969349625537802</v>
      </c>
      <c r="E37" s="52">
        <f>ROUND(D37*'Growth &amp; timing'!B6,0)</f>
        <v>47</v>
      </c>
      <c r="F37" s="14">
        <f>E37*N37*IF(AND(A37&gt;='Growth &amp; timing'!B5+1,A37&lt;='Growth &amp; timing'!B5+12),'Growth &amp; timing'!B7,1)</f>
        <v>205755.30162500002</v>
      </c>
      <c r="G37" s="14">
        <f t="shared" si="0"/>
        <v>2469063.6195</v>
      </c>
      <c r="H37" s="14">
        <f>E37*(L37*'Throughput → collections'!B8/12)*('AI-Scribe &amp; Azure'!B31+'Cost-to-serve (per encounter-cl'!B7)+E37*(L37*'Throughput → collections'!B8/12)*'Cost-to-serve (per encounter-cl'!B6*'Cost-to-serve (per encounter-cl'!B5+E37*'Cost-to-serve (per encounter-cl'!B9/12+'Cost-to-serve (per encounter-cl'!B10/12+'Staffing &amp; FTE'!Q53</f>
        <v>66740.431098307294</v>
      </c>
      <c r="I37" s="14">
        <f>'Staffing &amp; FTE'!R53+('Operating costs (fixed)'!B15-'Operating costs (fixed)'!B7)*(1+'Operating costs (fixed)'!B13)^(INT((A37-1)/12))+'Operating costs (fixed)'!B7*MIN(1,(A37-1)/12/'Operating costs (fixed)'!B8)+MAX(0,E37-E36)*'Operating costs (fixed)'!B11</f>
        <v>230877.56002277776</v>
      </c>
      <c r="J37" s="14">
        <f t="shared" si="1"/>
        <v>-91862.689496085048</v>
      </c>
      <c r="K37" s="14">
        <f>K36+J37+IF(A37='Financing &amp; returns'!B13,'Financing &amp; returns'!B12,0)</f>
        <v>1353736.4376459469</v>
      </c>
      <c r="L37" s="55">
        <f>MIN('Throughput → collections'!B6,'Throughput → collections'!B5+('Throughput → collections'!B6-'Throughput → collections'!B5)*MIN(MAX(0,(A37-('Growth &amp; timing'!B5+1))/12),'Throughput → collections'!B7)/'Throughput → collections'!B7)</f>
        <v>24.666666666666668</v>
      </c>
      <c r="M37" s="14">
        <f>L37*'Throughput → collections'!B8*'Throughput → collections'!B9</f>
        <v>943500</v>
      </c>
      <c r="N37" s="14">
        <f>(Pricing!B7*Pricing!B5+(1-Pricing!B7)*Pricing!B6)+(M37*'Throughput → collections'!B10*Pricing!B8*Pricing!B9)/12</f>
        <v>4377.7723750000005</v>
      </c>
    </row>
    <row r="38" spans="1:14" x14ac:dyDescent="0.25">
      <c r="A38" s="135">
        <v>33</v>
      </c>
      <c r="B38" s="54" t="str">
        <f>IF(A38&lt;='Growth &amp; timing'!B5,"Dev",IF(A38&lt;='Growth &amp; timing'!B5+'Growth &amp; timing'!B9,"Testing","Explosion"))</f>
        <v>Explosion</v>
      </c>
      <c r="C38" s="52">
        <f t="shared" si="2"/>
        <v>1.4285570060556836</v>
      </c>
      <c r="D38" s="52">
        <f>IF(A38&lt;='Growth &amp; timing'!B5,0,IF(A38='Growth &amp; timing'!B5+1,'Growth &amp; timing'!B8,IF(A38&lt;='Growth &amp; timing'!B5+'Growth &amp; timing'!B9,D37*((1-'Growth &amp; timing'!B12)^(1/12))+'Growth &amp; timing'!B10,D37*(1+'Growth &amp; timing'!B11)^(1/12))))</f>
        <v>20.397906631593486</v>
      </c>
      <c r="E38" s="52">
        <f>ROUND(D38*'Growth &amp; timing'!B6,0)</f>
        <v>51</v>
      </c>
      <c r="F38" s="14">
        <f>E38*N38*IF(AND(A38&gt;='Growth &amp; timing'!B5+1,A38&lt;='Growth &amp; timing'!B5+12),'Growth &amp; timing'!B7,1)</f>
        <v>225034.74599999998</v>
      </c>
      <c r="G38" s="14">
        <f t="shared" ref="G38:G69" si="3">E38*N38*12</f>
        <v>2700416.9519999996</v>
      </c>
      <c r="H38" s="14">
        <f>E38*(L38*'Throughput → collections'!B8/12)*('AI-Scribe &amp; Azure'!B31+'Cost-to-serve (per encounter-cl'!B7)+E38*(L38*'Throughput → collections'!B8/12)*'Cost-to-serve (per encounter-cl'!B6*'Cost-to-serve (per encounter-cl'!B5+E38*'Cost-to-serve (per encounter-cl'!B9/12+'Cost-to-serve (per encounter-cl'!B10/12+'Staffing &amp; FTE'!Q54</f>
        <v>80698.086531249995</v>
      </c>
      <c r="I38" s="14">
        <f>'Staffing &amp; FTE'!R54+('Operating costs (fixed)'!B15-'Operating costs (fixed)'!B7)*(1+'Operating costs (fixed)'!B13)^(INT((A38-1)/12))+'Operating costs (fixed)'!B7*MIN(1,(A38-1)/12/'Operating costs (fixed)'!B8)+MAX(0,E38-E37)*'Operating costs (fixed)'!B11</f>
        <v>242655.33780055554</v>
      </c>
      <c r="J38" s="14">
        <f t="shared" ref="J38:J69" si="4">F38-H38-I38</f>
        <v>-98318.678331805539</v>
      </c>
      <c r="K38" s="14">
        <f>K37+J38+IF(A38='Financing &amp; returns'!B13,'Financing &amp; returns'!B12,0)</f>
        <v>1255417.7593141412</v>
      </c>
      <c r="L38" s="55">
        <f>MIN('Throughput → collections'!B6,'Throughput → collections'!B5+('Throughput → collections'!B6-'Throughput → collections'!B5)*MIN(MAX(0,(A38-('Growth &amp; timing'!B5+1))/12),'Throughput → collections'!B7)/'Throughput → collections'!B7)</f>
        <v>24.888888888888889</v>
      </c>
      <c r="M38" s="14">
        <f>L38*'Throughput → collections'!B8*'Throughput → collections'!B9</f>
        <v>952000</v>
      </c>
      <c r="N38" s="14">
        <f>(Pricing!B7*Pricing!B5+(1-Pricing!B7)*Pricing!B6)+(M38*'Throughput → collections'!B10*Pricing!B8*Pricing!B9)/12</f>
        <v>4412.4459999999999</v>
      </c>
    </row>
    <row r="39" spans="1:14" x14ac:dyDescent="0.25">
      <c r="A39" s="135">
        <v>34</v>
      </c>
      <c r="B39" s="54" t="str">
        <f>IF(A39&lt;='Growth &amp; timing'!B5,"Dev",IF(A39&lt;='Growth &amp; timing'!B5+'Growth &amp; timing'!B9,"Testing","Explosion"))</f>
        <v>Explosion</v>
      </c>
      <c r="C39" s="52">
        <f t="shared" ref="C39:C70" si="5">MAX(0,D39-D38)</f>
        <v>1.536139772984253</v>
      </c>
      <c r="D39" s="52">
        <f>IF(A39&lt;='Growth &amp; timing'!B5,0,IF(A39='Growth &amp; timing'!B5+1,'Growth &amp; timing'!B8,IF(A39&lt;='Growth &amp; timing'!B5+'Growth &amp; timing'!B9,D38*((1-'Growth &amp; timing'!B12)^(1/12))+'Growth &amp; timing'!B10,D38*(1+'Growth &amp; timing'!B11)^(1/12))))</f>
        <v>21.934046404577739</v>
      </c>
      <c r="E39" s="52">
        <f>ROUND(D39*'Growth &amp; timing'!B6,0)</f>
        <v>55</v>
      </c>
      <c r="F39" s="14">
        <f>E39*N39*IF(AND(A39&gt;='Growth &amp; timing'!B5+1,A39&lt;='Growth &amp; timing'!B5+12),'Growth &amp; timing'!B7,1)</f>
        <v>244591.57937499997</v>
      </c>
      <c r="G39" s="14">
        <f t="shared" si="3"/>
        <v>2935098.9524999997</v>
      </c>
      <c r="H39" s="14">
        <f>E39*(L39*'Throughput → collections'!B8/12)*('AI-Scribe &amp; Azure'!B31+'Cost-to-serve (per encounter-cl'!B7)+E39*(L39*'Throughput → collections'!B8/12)*'Cost-to-serve (per encounter-cl'!B6*'Cost-to-serve (per encounter-cl'!B5+E39*'Cost-to-serve (per encounter-cl'!B9/12+'Cost-to-serve (per encounter-cl'!B10/12+'Staffing &amp; FTE'!Q55</f>
        <v>82347.044139539925</v>
      </c>
      <c r="I39" s="14">
        <f>'Staffing &amp; FTE'!R55+('Operating costs (fixed)'!B15-'Operating costs (fixed)'!B7)*(1+'Operating costs (fixed)'!B13)^(INT((A39-1)/12))+'Operating costs (fixed)'!B7*MIN(1,(A39-1)/12/'Operating costs (fixed)'!B8)+MAX(0,E39-E38)*'Operating costs (fixed)'!B11</f>
        <v>248599.78224499998</v>
      </c>
      <c r="J39" s="14">
        <f t="shared" si="4"/>
        <v>-86355.247009539948</v>
      </c>
      <c r="K39" s="14">
        <f>K38+J39+IF(A39='Financing &amp; returns'!B13,'Financing &amp; returns'!B12,0)</f>
        <v>1169062.5123046013</v>
      </c>
      <c r="L39" s="55">
        <f>MIN('Throughput → collections'!B6,'Throughput → collections'!B5+('Throughput → collections'!B6-'Throughput → collections'!B5)*MIN(MAX(0,(A39-('Growth &amp; timing'!B5+1))/12),'Throughput → collections'!B7)/'Throughput → collections'!B7)</f>
        <v>25.111111111111111</v>
      </c>
      <c r="M39" s="14">
        <f>L39*'Throughput → collections'!B8*'Throughput → collections'!B9</f>
        <v>960500</v>
      </c>
      <c r="N39" s="14">
        <f>(Pricing!B7*Pricing!B5+(1-Pricing!B7)*Pricing!B6)+(M39*'Throughput → collections'!B10*Pricing!B8*Pricing!B9)/12</f>
        <v>4447.1196249999994</v>
      </c>
    </row>
    <row r="40" spans="1:14" x14ac:dyDescent="0.25">
      <c r="A40" s="135">
        <v>35</v>
      </c>
      <c r="B40" s="54" t="str">
        <f>IF(A40&lt;='Growth &amp; timing'!B5,"Dev",IF(A40&lt;='Growth &amp; timing'!B5+'Growth &amp; timing'!B9,"Testing","Explosion"))</f>
        <v>Explosion</v>
      </c>
      <c r="C40" s="52">
        <f t="shared" si="5"/>
        <v>1.651824457925855</v>
      </c>
      <c r="D40" s="52">
        <f>IF(A40&lt;='Growth &amp; timing'!B5,0,IF(A40='Growth &amp; timing'!B5+1,'Growth &amp; timing'!B8,IF(A40&lt;='Growth &amp; timing'!B5+'Growth &amp; timing'!B9,D39*((1-'Growth &amp; timing'!B12)^(1/12))+'Growth &amp; timing'!B10,D39*(1+'Growth &amp; timing'!B11)^(1/12))))</f>
        <v>23.585870862503594</v>
      </c>
      <c r="E40" s="52">
        <f>ROUND(D40*'Growth &amp; timing'!B6,0)</f>
        <v>59</v>
      </c>
      <c r="F40" s="14">
        <f>E40*N40*IF(AND(A40&gt;='Growth &amp; timing'!B5+1,A40&lt;='Growth &amp; timing'!B5+12),'Growth &amp; timing'!B7,1)</f>
        <v>264425.80175000004</v>
      </c>
      <c r="G40" s="14">
        <f t="shared" si="3"/>
        <v>3173109.6210000003</v>
      </c>
      <c r="H40" s="14">
        <f>E40*(L40*'Throughput → collections'!B8/12)*('AI-Scribe &amp; Azure'!B31+'Cost-to-serve (per encounter-cl'!B7)+E40*(L40*'Throughput → collections'!B8/12)*'Cost-to-serve (per encounter-cl'!B6*'Cost-to-serve (per encounter-cl'!B5+E40*'Cost-to-serve (per encounter-cl'!B9/12+'Cost-to-serve (per encounter-cl'!B10/12+'Staffing &amp; FTE'!Q56</f>
        <v>84020.63725651041</v>
      </c>
      <c r="I40" s="14">
        <f>'Staffing &amp; FTE'!R56+('Operating costs (fixed)'!B15-'Operating costs (fixed)'!B7)*(1+'Operating costs (fixed)'!B13)^(INT((A40-1)/12))+'Operating costs (fixed)'!B7*MIN(1,(A40-1)/12/'Operating costs (fixed)'!B8)+MAX(0,E40-E39)*'Operating costs (fixed)'!B11</f>
        <v>257710.8933561111</v>
      </c>
      <c r="J40" s="14">
        <f t="shared" si="4"/>
        <v>-77305.728862621472</v>
      </c>
      <c r="K40" s="14">
        <f>K39+J40+IF(A40='Financing &amp; returns'!B13,'Financing &amp; returns'!B12,0)</f>
        <v>1091756.7834419799</v>
      </c>
      <c r="L40" s="55">
        <f>MIN('Throughput → collections'!B6,'Throughput → collections'!B5+('Throughput → collections'!B6-'Throughput → collections'!B5)*MIN(MAX(0,(A40-('Growth &amp; timing'!B5+1))/12),'Throughput → collections'!B7)/'Throughput → collections'!B7)</f>
        <v>25.333333333333332</v>
      </c>
      <c r="M40" s="14">
        <f>L40*'Throughput → collections'!B8*'Throughput → collections'!B9</f>
        <v>969000</v>
      </c>
      <c r="N40" s="14">
        <f>(Pricing!B7*Pricing!B5+(1-Pricing!B7)*Pricing!B6)+(M40*'Throughput → collections'!B10*Pricing!B8*Pricing!B9)/12</f>
        <v>4481.7932500000006</v>
      </c>
    </row>
    <row r="41" spans="1:14" x14ac:dyDescent="0.25">
      <c r="A41" s="135">
        <v>36</v>
      </c>
      <c r="B41" s="54" t="str">
        <f>IF(A41&lt;='Growth &amp; timing'!B5,"Dev",IF(A41&lt;='Growth &amp; timing'!B5+'Growth &amp; timing'!B9,"Testing","Explosion"))</f>
        <v>Explosion</v>
      </c>
      <c r="C41" s="52">
        <f t="shared" si="5"/>
        <v>1.7762212057704581</v>
      </c>
      <c r="D41" s="52">
        <f>IF(A41&lt;='Growth &amp; timing'!B5,0,IF(A41='Growth &amp; timing'!B5+1,'Growth &amp; timing'!B8,IF(A41&lt;='Growth &amp; timing'!B5+'Growth &amp; timing'!B9,D40*((1-'Growth &amp; timing'!B12)^(1/12))+'Growth &amp; timing'!B10,D40*(1+'Growth &amp; timing'!B11)^(1/12))))</f>
        <v>25.362092068274052</v>
      </c>
      <c r="E41" s="52">
        <f>ROUND(D41*'Growth &amp; timing'!B6,0)</f>
        <v>63</v>
      </c>
      <c r="F41" s="14">
        <f>E41*N41*IF(AND(A41&gt;='Growth &amp; timing'!B5+1,A41&lt;='Growth &amp; timing'!B5+12),'Growth &amp; timing'!B7,1)</f>
        <v>284537.41312500002</v>
      </c>
      <c r="G41" s="14">
        <f t="shared" si="3"/>
        <v>3414448.9575000005</v>
      </c>
      <c r="H41" s="14">
        <f>E41*(L41*'Throughput → collections'!B8/12)*('AI-Scribe &amp; Azure'!B31+'Cost-to-serve (per encounter-cl'!B7)+E41*(L41*'Throughput → collections'!B8/12)*'Cost-to-serve (per encounter-cl'!B6*'Cost-to-serve (per encounter-cl'!B5+E41*'Cost-to-serve (per encounter-cl'!B9/12+'Cost-to-serve (per encounter-cl'!B10/12+'Staffing &amp; FTE'!Q57</f>
        <v>90718.865882161452</v>
      </c>
      <c r="I41" s="14">
        <f>'Staffing &amp; FTE'!R57+('Operating costs (fixed)'!B15-'Operating costs (fixed)'!B7)*(1+'Operating costs (fixed)'!B13)^(INT((A41-1)/12))+'Operating costs (fixed)'!B7*MIN(1,(A41-1)/12/'Operating costs (fixed)'!B8)+MAX(0,E41-E40)*'Operating costs (fixed)'!B11</f>
        <v>257822.0044672222</v>
      </c>
      <c r="J41" s="14">
        <f t="shared" si="4"/>
        <v>-64003.45722438363</v>
      </c>
      <c r="K41" s="14">
        <f>K40+J41+IF(A41='Financing &amp; returns'!B13,'Financing &amp; returns'!B12,0)</f>
        <v>1027753.3262175963</v>
      </c>
      <c r="L41" s="55">
        <f>MIN('Throughput → collections'!B6,'Throughput → collections'!B5+('Throughput → collections'!B6-'Throughput → collections'!B5)*MIN(MAX(0,(A41-('Growth &amp; timing'!B5+1))/12),'Throughput → collections'!B7)/'Throughput → collections'!B7)</f>
        <v>25.555555555555557</v>
      </c>
      <c r="M41" s="14">
        <f>L41*'Throughput → collections'!B8*'Throughput → collections'!B9</f>
        <v>977500</v>
      </c>
      <c r="N41" s="14">
        <f>(Pricing!B7*Pricing!B5+(1-Pricing!B7)*Pricing!B6)+(M41*'Throughput → collections'!B10*Pricing!B8*Pricing!B9)/12</f>
        <v>4516.4668750000001</v>
      </c>
    </row>
    <row r="42" spans="1:14" x14ac:dyDescent="0.25">
      <c r="A42" s="135">
        <v>37</v>
      </c>
      <c r="B42" s="54" t="str">
        <f>IF(A42&lt;='Growth &amp; timing'!B5,"Dev",IF(A42&lt;='Growth &amp; timing'!B5+'Growth &amp; timing'!B9,"Testing","Explosion"))</f>
        <v>Explosion</v>
      </c>
      <c r="C42" s="52">
        <f t="shared" si="5"/>
        <v>1.9099861106247609</v>
      </c>
      <c r="D42" s="52">
        <f>IF(A42&lt;='Growth &amp; timing'!B5,0,IF(A42='Growth &amp; timing'!B5+1,'Growth &amp; timing'!B8,IF(A42&lt;='Growth &amp; timing'!B5+'Growth &amp; timing'!B9,D41*((1-'Growth &amp; timing'!B12)^(1/12))+'Growth &amp; timing'!B10,D41*(1+'Growth &amp; timing'!B11)^(1/12))))</f>
        <v>27.272078178898813</v>
      </c>
      <c r="E42" s="52">
        <f>ROUND(D42*'Growth &amp; timing'!B6,0)</f>
        <v>68</v>
      </c>
      <c r="F42" s="14">
        <f>E42*N42*IF(AND(A42&gt;='Growth &amp; timing'!B5+1,A42&lt;='Growth &amp; timing'!B5+12),'Growth &amp; timing'!B7,1)</f>
        <v>309477.55400000012</v>
      </c>
      <c r="G42" s="14">
        <f t="shared" si="3"/>
        <v>3713730.6480000014</v>
      </c>
      <c r="H42" s="14">
        <f>E42*(L42*'Throughput → collections'!B8/12)*('AI-Scribe &amp; Azure'!B31+'Cost-to-serve (per encounter-cl'!B7)+E42*(L42*'Throughput → collections'!B8/12)*'Cost-to-serve (per encounter-cl'!B6*'Cost-to-serve (per encounter-cl'!B5+E42*'Cost-to-serve (per encounter-cl'!B9/12+'Cost-to-serve (per encounter-cl'!B10/12+'Staffing &amp; FTE'!Q58</f>
        <v>92823.94489236112</v>
      </c>
      <c r="I42" s="14">
        <f>'Staffing &amp; FTE'!R58+('Operating costs (fixed)'!B15-'Operating costs (fixed)'!B7)*(1+'Operating costs (fixed)'!B13)^(INT((A42-1)/12))+'Operating costs (fixed)'!B7*MIN(1,(A42-1)/12/'Operating costs (fixed)'!B8)+MAX(0,E42-E41)*'Operating costs (fixed)'!B11</f>
        <v>278514.48395207484</v>
      </c>
      <c r="J42" s="14">
        <f t="shared" si="4"/>
        <v>-61860.874844435835</v>
      </c>
      <c r="K42" s="14">
        <f>K41+J42+IF(A42='Financing &amp; returns'!B13,'Financing &amp; returns'!B12,0)</f>
        <v>965892.45137316047</v>
      </c>
      <c r="L42" s="55">
        <f>MIN('Throughput → collections'!B6,'Throughput → collections'!B5+('Throughput → collections'!B6-'Throughput → collections'!B5)*MIN(MAX(0,(A42-('Growth &amp; timing'!B5+1))/12),'Throughput → collections'!B7)/'Throughput → collections'!B7)</f>
        <v>25.777777777777779</v>
      </c>
      <c r="M42" s="14">
        <f>L42*'Throughput → collections'!B8*'Throughput → collections'!B9</f>
        <v>986000.00000000012</v>
      </c>
      <c r="N42" s="14">
        <f>(Pricing!B7*Pricing!B5+(1-Pricing!B7)*Pricing!B6)+(M42*'Throughput → collections'!B10*Pricing!B8*Pricing!B9)/12</f>
        <v>4551.1405000000013</v>
      </c>
    </row>
    <row r="43" spans="1:14" x14ac:dyDescent="0.25">
      <c r="A43" s="135">
        <v>38</v>
      </c>
      <c r="B43" s="54" t="str">
        <f>IF(A43&lt;='Growth &amp; timing'!B5,"Dev",IF(A43&lt;='Growth &amp; timing'!B5+'Growth &amp; timing'!B9,"Testing","Explosion"))</f>
        <v>Explosion</v>
      </c>
      <c r="C43" s="52">
        <f t="shared" si="5"/>
        <v>2.0538246761878476</v>
      </c>
      <c r="D43" s="52">
        <f>IF(A43&lt;='Growth &amp; timing'!B5,0,IF(A43='Growth &amp; timing'!B5+1,'Growth &amp; timing'!B8,IF(A43&lt;='Growth &amp; timing'!B5+'Growth &amp; timing'!B9,D42*((1-'Growth &amp; timing'!B12)^(1/12))+'Growth &amp; timing'!B10,D42*(1+'Growth &amp; timing'!B11)^(1/12))))</f>
        <v>29.32590285508666</v>
      </c>
      <c r="E43" s="52">
        <f>ROUND(D43*'Growth &amp; timing'!B6,0)</f>
        <v>73</v>
      </c>
      <c r="F43" s="14">
        <f>E43*N43*IF(AND(A43&gt;='Growth &amp; timing'!B5+1,A43&lt;='Growth &amp; timing'!B5+12),'Growth &amp; timing'!B7,1)</f>
        <v>334764.43112500006</v>
      </c>
      <c r="G43" s="14">
        <f t="shared" si="3"/>
        <v>4017173.1735000005</v>
      </c>
      <c r="H43" s="14">
        <f>E43*(L43*'Throughput → collections'!B8/12)*('AI-Scribe &amp; Azure'!B31+'Cost-to-serve (per encounter-cl'!B7)+E43*(L43*'Throughput → collections'!B8/12)*'Cost-to-serve (per encounter-cl'!B6*'Cost-to-serve (per encounter-cl'!B5+E43*'Cost-to-serve (per encounter-cl'!B9/12+'Cost-to-serve (per encounter-cl'!B10/12+'Staffing &amp; FTE'!Q59</f>
        <v>94959.81828841145</v>
      </c>
      <c r="I43" s="14">
        <f>'Staffing &amp; FTE'!R59+('Operating costs (fixed)'!B15-'Operating costs (fixed)'!B7)*(1+'Operating costs (fixed)'!B13)^(INT((A43-1)/12))+'Operating costs (fixed)'!B7*MIN(1,(A43-1)/12/'Operating costs (fixed)'!B8)+MAX(0,E43-E42)*'Operating costs (fixed)'!B11</f>
        <v>278514.48395207484</v>
      </c>
      <c r="J43" s="14">
        <f t="shared" si="4"/>
        <v>-38709.871115486225</v>
      </c>
      <c r="K43" s="14">
        <f>K42+J43+IF(A43='Financing &amp; returns'!B13,'Financing &amp; returns'!B12,0)</f>
        <v>927182.58025767421</v>
      </c>
      <c r="L43" s="55">
        <f>MIN('Throughput → collections'!B6,'Throughput → collections'!B5+('Throughput → collections'!B6-'Throughput → collections'!B5)*MIN(MAX(0,(A43-('Growth &amp; timing'!B5+1))/12),'Throughput → collections'!B7)/'Throughput → collections'!B7)</f>
        <v>26</v>
      </c>
      <c r="M43" s="14">
        <f>L43*'Throughput → collections'!B8*'Throughput → collections'!B9</f>
        <v>994500</v>
      </c>
      <c r="N43" s="14">
        <f>(Pricing!B7*Pricing!B5+(1-Pricing!B7)*Pricing!B6)+(M43*'Throughput → collections'!B10*Pricing!B8*Pricing!B9)/12</f>
        <v>4585.8141250000008</v>
      </c>
    </row>
    <row r="44" spans="1:14" x14ac:dyDescent="0.25">
      <c r="A44" s="135">
        <v>39</v>
      </c>
      <c r="B44" s="54" t="str">
        <f>IF(A44&lt;='Growth &amp; timing'!B5,"Dev",IF(A44&lt;='Growth &amp; timing'!B5+'Growth &amp; timing'!B9,"Testing","Explosion"))</f>
        <v>Explosion</v>
      </c>
      <c r="C44" s="52">
        <f t="shared" si="5"/>
        <v>2.2084955367232162</v>
      </c>
      <c r="D44" s="52">
        <f>IF(A44&lt;='Growth &amp; timing'!B5,0,IF(A44='Growth &amp; timing'!B5+1,'Growth &amp; timing'!B8,IF(A44&lt;='Growth &amp; timing'!B5+'Growth &amp; timing'!B9,D43*((1-'Growth &amp; timing'!B12)^(1/12))+'Growth &amp; timing'!B10,D43*(1+'Growth &amp; timing'!B11)^(1/12))))</f>
        <v>31.534398391809876</v>
      </c>
      <c r="E44" s="52">
        <f>ROUND(D44*'Growth &amp; timing'!B6,0)</f>
        <v>79</v>
      </c>
      <c r="F44" s="14">
        <f>E44*N44*IF(AND(A44&gt;='Growth &amp; timing'!B5+1,A44&lt;='Growth &amp; timing'!B5+12),'Growth &amp; timing'!B7,1)</f>
        <v>365018.53225000005</v>
      </c>
      <c r="G44" s="14">
        <f t="shared" si="3"/>
        <v>4380222.3870000001</v>
      </c>
      <c r="H44" s="14">
        <f>E44*(L44*'Throughput → collections'!B8/12)*('AI-Scribe &amp; Azure'!B31+'Cost-to-serve (per encounter-cl'!B7)+E44*(L44*'Throughput → collections'!B8/12)*'Cost-to-serve (per encounter-cl'!B6*'Cost-to-serve (per encounter-cl'!B5+E44*'Cost-to-serve (per encounter-cl'!B9/12+'Cost-to-serve (per encounter-cl'!B10/12+'Staffing &amp; FTE'!Q60</f>
        <v>103181.52649001736</v>
      </c>
      <c r="I44" s="14">
        <f>'Staffing &amp; FTE'!R60+('Operating costs (fixed)'!B15-'Operating costs (fixed)'!B7)*(1+'Operating costs (fixed)'!B13)^(INT((A44-1)/12))+'Operating costs (fixed)'!B7*MIN(1,(A44-1)/12/'Operating costs (fixed)'!B8)+MAX(0,E44-E43)*'Operating costs (fixed)'!B11</f>
        <v>278514.48395207484</v>
      </c>
      <c r="J44" s="14">
        <f t="shared" si="4"/>
        <v>-16677.478192092152</v>
      </c>
      <c r="K44" s="14">
        <f>K43+J44+IF(A44='Financing &amp; returns'!B13,'Financing &amp; returns'!B12,0)</f>
        <v>910505.10206558206</v>
      </c>
      <c r="L44" s="55">
        <f>MIN('Throughput → collections'!B6,'Throughput → collections'!B5+('Throughput → collections'!B6-'Throughput → collections'!B5)*MIN(MAX(0,(A44-('Growth &amp; timing'!B5+1))/12),'Throughput → collections'!B7)/'Throughput → collections'!B7)</f>
        <v>26.222222222222221</v>
      </c>
      <c r="M44" s="14">
        <f>L44*'Throughput → collections'!B8*'Throughput → collections'!B9</f>
        <v>1002999.9999999999</v>
      </c>
      <c r="N44" s="14">
        <f>(Pricing!B7*Pricing!B5+(1-Pricing!B7)*Pricing!B6)+(M44*'Throughput → collections'!B10*Pricing!B8*Pricing!B9)/12</f>
        <v>4620.4877500000002</v>
      </c>
    </row>
    <row r="45" spans="1:14" x14ac:dyDescent="0.25">
      <c r="A45" s="135">
        <v>40</v>
      </c>
      <c r="B45" s="54" t="str">
        <f>IF(A45&lt;='Growth &amp; timing'!B5,"Dev",IF(A45&lt;='Growth &amp; timing'!B5+'Growth &amp; timing'!B9,"Testing","Explosion"))</f>
        <v>Explosion</v>
      </c>
      <c r="C45" s="52">
        <f t="shared" si="5"/>
        <v>2.3748144582523558</v>
      </c>
      <c r="D45" s="52">
        <f>IF(A45&lt;='Growth &amp; timing'!B5,0,IF(A45='Growth &amp; timing'!B5+1,'Growth &amp; timing'!B8,IF(A45&lt;='Growth &amp; timing'!B5+'Growth &amp; timing'!B9,D44*((1-'Growth &amp; timing'!B12)^(1/12))+'Growth &amp; timing'!B10,D44*(1+'Growth &amp; timing'!B11)^(1/12))))</f>
        <v>33.909212850062232</v>
      </c>
      <c r="E45" s="52">
        <f>ROUND(D45*'Growth &amp; timing'!B6,0)</f>
        <v>85</v>
      </c>
      <c r="F45" s="14">
        <f>E45*N45*IF(AND(A45&gt;='Growth &amp; timing'!B5+1,A45&lt;='Growth &amp; timing'!B5+12),'Growth &amp; timing'!B7,1)</f>
        <v>395688.71687500004</v>
      </c>
      <c r="G45" s="14">
        <f t="shared" si="3"/>
        <v>4748264.602500001</v>
      </c>
      <c r="H45" s="14">
        <f>E45*(L45*'Throughput → collections'!B8/12)*('AI-Scribe &amp; Azure'!B31+'Cost-to-serve (per encounter-cl'!B7)+E45*(L45*'Throughput → collections'!B8/12)*'Cost-to-serve (per encounter-cl'!B6*'Cost-to-serve (per encounter-cl'!B5+E45*'Cost-to-serve (per encounter-cl'!B9/12+'Cost-to-serve (per encounter-cl'!B10/12+'Staffing &amp; FTE'!Q61</f>
        <v>105773.52128797743</v>
      </c>
      <c r="I45" s="14">
        <f>'Staffing &amp; FTE'!R61+('Operating costs (fixed)'!B15-'Operating costs (fixed)'!B7)*(1+'Operating costs (fixed)'!B13)^(INT((A45-1)/12))+'Operating costs (fixed)'!B7*MIN(1,(A45-1)/12/'Operating costs (fixed)'!B8)+MAX(0,E45-E44)*'Operating costs (fixed)'!B11</f>
        <v>278514.48395207484</v>
      </c>
      <c r="J45" s="14">
        <f t="shared" si="4"/>
        <v>11400.711634947744</v>
      </c>
      <c r="K45" s="14">
        <f>K44+J45+IF(A45='Financing &amp; returns'!B13,'Financing &amp; returns'!B12,0)</f>
        <v>921905.81370052975</v>
      </c>
      <c r="L45" s="55">
        <f>MIN('Throughput → collections'!B6,'Throughput → collections'!B5+('Throughput → collections'!B6-'Throughput → collections'!B5)*MIN(MAX(0,(A45-('Growth &amp; timing'!B5+1))/12),'Throughput → collections'!B7)/'Throughput → collections'!B7)</f>
        <v>26.444444444444443</v>
      </c>
      <c r="M45" s="14">
        <f>L45*'Throughput → collections'!B8*'Throughput → collections'!B9</f>
        <v>1011500</v>
      </c>
      <c r="N45" s="14">
        <f>(Pricing!B7*Pricing!B5+(1-Pricing!B7)*Pricing!B6)+(M45*'Throughput → collections'!B10*Pricing!B8*Pricing!B9)/12</f>
        <v>4655.1613750000006</v>
      </c>
    </row>
    <row r="46" spans="1:14" x14ac:dyDescent="0.25">
      <c r="A46" s="135">
        <v>41</v>
      </c>
      <c r="B46" s="54" t="str">
        <f>IF(A46&lt;='Growth &amp; timing'!B5,"Dev",IF(A46&lt;='Growth &amp; timing'!B5+'Growth &amp; timing'!B9,"Testing","Explosion"))</f>
        <v>Explosion</v>
      </c>
      <c r="C46" s="52">
        <f t="shared" si="5"/>
        <v>2.5536586410730209</v>
      </c>
      <c r="D46" s="52">
        <f>IF(A46&lt;='Growth &amp; timing'!B5,0,IF(A46='Growth &amp; timing'!B5+1,'Growth &amp; timing'!B8,IF(A46&lt;='Growth &amp; timing'!B5+'Growth &amp; timing'!B9,D45*((1-'Growth &amp; timing'!B12)^(1/12))+'Growth &amp; timing'!B10,D45*(1+'Growth &amp; timing'!B11)^(1/12))))</f>
        <v>36.462871491135253</v>
      </c>
      <c r="E46" s="52">
        <f>ROUND(D46*'Growth &amp; timing'!B6,0)</f>
        <v>91</v>
      </c>
      <c r="F46" s="14">
        <f>E46*N46*IF(AND(A46&gt;='Growth &amp; timing'!B5+1,A46&lt;='Growth &amp; timing'!B5+12),'Growth &amp; timing'!B7,1)</f>
        <v>426774.98499999999</v>
      </c>
      <c r="G46" s="14">
        <f t="shared" si="3"/>
        <v>5121299.82</v>
      </c>
      <c r="H46" s="14">
        <f>E46*(L46*'Throughput → collections'!B8/12)*('AI-Scribe &amp; Azure'!B31+'Cost-to-serve (per encounter-cl'!B7)+E46*(L46*'Throughput → collections'!B8/12)*'Cost-to-serve (per encounter-cl'!B6*'Cost-to-serve (per encounter-cl'!B5+E46*'Cost-to-serve (per encounter-cl'!B9/12+'Cost-to-serve (per encounter-cl'!B10/12+'Staffing &amp; FTE'!Q62</f>
        <v>109902.46934895832</v>
      </c>
      <c r="I46" s="14">
        <f>'Staffing &amp; FTE'!R62+('Operating costs (fixed)'!B15-'Operating costs (fixed)'!B7)*(1+'Operating costs (fixed)'!B13)^(INT((A46-1)/12))+'Operating costs (fixed)'!B7*MIN(1,(A46-1)/12/'Operating costs (fixed)'!B8)+MAX(0,E46-E45)*'Operating costs (fixed)'!B11</f>
        <v>278514.48395207484</v>
      </c>
      <c r="J46" s="14">
        <f t="shared" si="4"/>
        <v>38358.031698966806</v>
      </c>
      <c r="K46" s="14">
        <f>K45+J46+IF(A46='Financing &amp; returns'!B13,'Financing &amp; returns'!B12,0)</f>
        <v>960263.84539949661</v>
      </c>
      <c r="L46" s="55">
        <f>MIN('Throughput → collections'!B6,'Throughput → collections'!B5+('Throughput → collections'!B6-'Throughput → collections'!B5)*MIN(MAX(0,(A46-('Growth &amp; timing'!B5+1))/12),'Throughput → collections'!B7)/'Throughput → collections'!B7)</f>
        <v>26.666666666666668</v>
      </c>
      <c r="M46" s="14">
        <f>L46*'Throughput → collections'!B8*'Throughput → collections'!B9</f>
        <v>1020000</v>
      </c>
      <c r="N46" s="14">
        <f>(Pricing!B7*Pricing!B5+(1-Pricing!B7)*Pricing!B6)+(M46*'Throughput → collections'!B10*Pricing!B8*Pricing!B9)/12</f>
        <v>4689.835</v>
      </c>
    </row>
    <row r="47" spans="1:14" x14ac:dyDescent="0.25">
      <c r="A47" s="135">
        <v>42</v>
      </c>
      <c r="B47" s="54" t="str">
        <f>IF(A47&lt;='Growth &amp; timing'!B5,"Dev",IF(A47&lt;='Growth &amp; timing'!B5+'Growth &amp; timing'!B9,"Testing","Explosion"))</f>
        <v>Explosion</v>
      </c>
      <c r="C47" s="52">
        <f t="shared" si="5"/>
        <v>2.7459713462945103</v>
      </c>
      <c r="D47" s="52">
        <f>IF(A47&lt;='Growth &amp; timing'!B5,0,IF(A47='Growth &amp; timing'!B5+1,'Growth &amp; timing'!B8,IF(A47&lt;='Growth &amp; timing'!B5+'Growth &amp; timing'!B9,D46*((1-'Growth &amp; timing'!B12)^(1/12))+'Growth &amp; timing'!B10,D46*(1+'Growth &amp; timing'!B11)^(1/12))))</f>
        <v>39.208842837429764</v>
      </c>
      <c r="E47" s="52">
        <f>ROUND(D47*'Growth &amp; timing'!B6,0)</f>
        <v>98</v>
      </c>
      <c r="F47" s="14">
        <f>E47*N47*IF(AND(A47&gt;='Growth &amp; timing'!B5+1,A47&lt;='Growth &amp; timing'!B5+12),'Growth &amp; timing'!B7,1)</f>
        <v>463001.84525000001</v>
      </c>
      <c r="G47" s="14">
        <f t="shared" si="3"/>
        <v>5556022.1430000002</v>
      </c>
      <c r="H47" s="14">
        <f>E47*(L47*'Throughput → collections'!B8/12)*('AI-Scribe &amp; Azure'!B31+'Cost-to-serve (per encounter-cl'!B7)+E47*(L47*'Throughput → collections'!B8/12)*'Cost-to-serve (per encounter-cl'!B6*'Cost-to-serve (per encounter-cl'!B5+E47*'Cost-to-serve (per encounter-cl'!B9/12+'Cost-to-serve (per encounter-cl'!B10/12+'Staffing &amp; FTE'!Q63</f>
        <v>118632.64940842014</v>
      </c>
      <c r="I47" s="14">
        <f>'Staffing &amp; FTE'!R63+('Operating costs (fixed)'!B15-'Operating costs (fixed)'!B7)*(1+'Operating costs (fixed)'!B13)^(INT((A47-1)/12))+'Operating costs (fixed)'!B7*MIN(1,(A47-1)/12/'Operating costs (fixed)'!B8)+MAX(0,E47-E46)*'Operating costs (fixed)'!B11</f>
        <v>287681.15061874146</v>
      </c>
      <c r="J47" s="14">
        <f t="shared" si="4"/>
        <v>56688.045222838409</v>
      </c>
      <c r="K47" s="14">
        <f>K46+J47+IF(A47='Financing &amp; returns'!B13,'Financing &amp; returns'!B12,0)</f>
        <v>1016951.890622335</v>
      </c>
      <c r="L47" s="55">
        <f>MIN('Throughput → collections'!B6,'Throughput → collections'!B5+('Throughput → collections'!B6-'Throughput → collections'!B5)*MIN(MAX(0,(A47-('Growth &amp; timing'!B5+1))/12),'Throughput → collections'!B7)/'Throughput → collections'!B7)</f>
        <v>26.888888888888889</v>
      </c>
      <c r="M47" s="14">
        <f>L47*'Throughput → collections'!B8*'Throughput → collections'!B9</f>
        <v>1028500</v>
      </c>
      <c r="N47" s="14">
        <f>(Pricing!B7*Pricing!B5+(1-Pricing!B7)*Pricing!B6)+(M47*'Throughput → collections'!B10*Pricing!B8*Pricing!B9)/12</f>
        <v>4724.5086250000004</v>
      </c>
    </row>
    <row r="48" spans="1:14" x14ac:dyDescent="0.25">
      <c r="A48" s="135">
        <v>43</v>
      </c>
      <c r="B48" s="54" t="str">
        <f>IF(A48&lt;='Growth &amp; timing'!B5,"Dev",IF(A48&lt;='Growth &amp; timing'!B5+'Growth &amp; timing'!B9,"Testing","Explosion"))</f>
        <v>Explosion</v>
      </c>
      <c r="C48" s="52">
        <f t="shared" si="5"/>
        <v>2.9527668707913648</v>
      </c>
      <c r="D48" s="52">
        <f>IF(A48&lt;='Growth &amp; timing'!B5,0,IF(A48='Growth &amp; timing'!B5+1,'Growth &amp; timing'!B8,IF(A48&lt;='Growth &amp; timing'!B5+'Growth &amp; timing'!B9,D47*((1-'Growth &amp; timing'!B12)^(1/12))+'Growth &amp; timing'!B10,D47*(1+'Growth &amp; timing'!B11)^(1/12))))</f>
        <v>42.161609708221128</v>
      </c>
      <c r="E48" s="52">
        <f>ROUND(D48*'Growth &amp; timing'!B6,0)</f>
        <v>105</v>
      </c>
      <c r="F48" s="14">
        <f>E48*N48*IF(AND(A48&gt;='Growth &amp; timing'!B5+1,A48&lt;='Growth &amp; timing'!B5+12),'Growth &amp; timing'!B7,1)</f>
        <v>499714.13624999998</v>
      </c>
      <c r="G48" s="14">
        <f t="shared" si="3"/>
        <v>5996569.6349999998</v>
      </c>
      <c r="H48" s="14">
        <f>E48*(L48*'Throughput → collections'!B8/12)*('AI-Scribe &amp; Azure'!B31+'Cost-to-serve (per encounter-cl'!B7)+E48*(L48*'Throughput → collections'!B8/12)*'Cost-to-serve (per encounter-cl'!B6*'Cost-to-serve (per encounter-cl'!B5+E48*'Cost-to-serve (per encounter-cl'!B9/12+'Cost-to-serve (per encounter-cl'!B10/12+'Staffing &amp; FTE'!Q64</f>
        <v>121739.27494140624</v>
      </c>
      <c r="I48" s="14">
        <f>'Staffing &amp; FTE'!R64+('Operating costs (fixed)'!B15-'Operating costs (fixed)'!B7)*(1+'Operating costs (fixed)'!B13)^(INT((A48-1)/12))+'Operating costs (fixed)'!B7*MIN(1,(A48-1)/12/'Operating costs (fixed)'!B8)+MAX(0,E48-E47)*'Operating costs (fixed)'!B11</f>
        <v>289514.48395207484</v>
      </c>
      <c r="J48" s="14">
        <f t="shared" si="4"/>
        <v>88460.377356518933</v>
      </c>
      <c r="K48" s="14">
        <f>K47+J48+IF(A48='Financing &amp; returns'!B13,'Financing &amp; returns'!B12,0)</f>
        <v>1105412.267978854</v>
      </c>
      <c r="L48" s="55">
        <f>MIN('Throughput → collections'!B6,'Throughput → collections'!B5+('Throughput → collections'!B6-'Throughput → collections'!B5)*MIN(MAX(0,(A48-('Growth &amp; timing'!B5+1))/12),'Throughput → collections'!B7)/'Throughput → collections'!B7)</f>
        <v>27.111111111111111</v>
      </c>
      <c r="M48" s="14">
        <f>L48*'Throughput → collections'!B8*'Throughput → collections'!B9</f>
        <v>1037000</v>
      </c>
      <c r="N48" s="14">
        <f>(Pricing!B7*Pricing!B5+(1-Pricing!B7)*Pricing!B6)+(M48*'Throughput → collections'!B10*Pricing!B8*Pricing!B9)/12</f>
        <v>4759.1822499999998</v>
      </c>
    </row>
    <row r="49" spans="1:14" x14ac:dyDescent="0.25">
      <c r="A49" s="135">
        <v>44</v>
      </c>
      <c r="B49" s="54" t="str">
        <f>IF(A49&lt;='Growth &amp; timing'!B5,"Dev",IF(A49&lt;='Growth &amp; timing'!B5+'Growth &amp; timing'!B9,"Testing","Explosion"))</f>
        <v>Explosion</v>
      </c>
      <c r="C49" s="52">
        <f t="shared" si="5"/>
        <v>3.1751358968142327</v>
      </c>
      <c r="D49" s="52">
        <f>IF(A49&lt;='Growth &amp; timing'!B5,0,IF(A49='Growth &amp; timing'!B5+1,'Growth &amp; timing'!B8,IF(A49&lt;='Growth &amp; timing'!B5+'Growth &amp; timing'!B9,D48*((1-'Growth &amp; timing'!B12)^(1/12))+'Growth &amp; timing'!B10,D48*(1+'Growth &amp; timing'!B11)^(1/12))))</f>
        <v>45.336745605035361</v>
      </c>
      <c r="E49" s="52">
        <f>ROUND(D49*'Growth &amp; timing'!B6,0)</f>
        <v>113</v>
      </c>
      <c r="F49" s="14">
        <f>E49*N49*IF(AND(A49&gt;='Growth &amp; timing'!B5+1,A49&lt;='Growth &amp; timing'!B5+12),'Growth &amp; timing'!B7,1)</f>
        <v>541705.71387500002</v>
      </c>
      <c r="G49" s="14">
        <f t="shared" si="3"/>
        <v>6500468.5665000007</v>
      </c>
      <c r="H49" s="14">
        <f>E49*(L49*'Throughput → collections'!B8/12)*('AI-Scribe &amp; Azure'!B31+'Cost-to-serve (per encounter-cl'!B7)+E49*(L49*'Throughput → collections'!B8/12)*'Cost-to-serve (per encounter-cl'!B6*'Cost-to-serve (per encounter-cl'!B5+E49*'Cost-to-serve (per encounter-cl'!B9/12+'Cost-to-serve (per encounter-cl'!B10/12+'Staffing &amp; FTE'!Q65</f>
        <v>125292.78356054687</v>
      </c>
      <c r="I49" s="14">
        <f>'Staffing &amp; FTE'!R65+('Operating costs (fixed)'!B15-'Operating costs (fixed)'!B7)*(1+'Operating costs (fixed)'!B13)^(INT((A49-1)/12))+'Operating costs (fixed)'!B7*MIN(1,(A49-1)/12/'Operating costs (fixed)'!B8)+MAX(0,E49-E48)*'Operating costs (fixed)'!B11</f>
        <v>301181.15061874146</v>
      </c>
      <c r="J49" s="14">
        <f t="shared" si="4"/>
        <v>115231.77969571168</v>
      </c>
      <c r="K49" s="14">
        <f>K48+J49+IF(A49='Financing &amp; returns'!B13,'Financing &amp; returns'!B12,0)</f>
        <v>1220644.0476745656</v>
      </c>
      <c r="L49" s="55">
        <f>MIN('Throughput → collections'!B6,'Throughput → collections'!B5+('Throughput → collections'!B6-'Throughput → collections'!B5)*MIN(MAX(0,(A49-('Growth &amp; timing'!B5+1))/12),'Throughput → collections'!B7)/'Throughput → collections'!B7)</f>
        <v>27.333333333333332</v>
      </c>
      <c r="M49" s="14">
        <f>L49*'Throughput → collections'!B8*'Throughput → collections'!B9</f>
        <v>1045500</v>
      </c>
      <c r="N49" s="14">
        <f>(Pricing!B7*Pricing!B5+(1-Pricing!B7)*Pricing!B6)+(M49*'Throughput → collections'!B10*Pricing!B8*Pricing!B9)/12</f>
        <v>4793.8558750000002</v>
      </c>
    </row>
    <row r="50" spans="1:14" x14ac:dyDescent="0.25">
      <c r="A50" s="135">
        <v>45</v>
      </c>
      <c r="B50" s="54" t="str">
        <f>IF(A50&lt;='Growth &amp; timing'!B5,"Dev",IF(A50&lt;='Growth &amp; timing'!B5+'Growth &amp; timing'!B9,"Testing","Explosion"))</f>
        <v>Explosion</v>
      </c>
      <c r="C50" s="52">
        <f t="shared" si="5"/>
        <v>3.4142512444730855</v>
      </c>
      <c r="D50" s="52">
        <f>IF(A50&lt;='Growth &amp; timing'!B5,0,IF(A50='Growth &amp; timing'!B5+1,'Growth &amp; timing'!B8,IF(A50&lt;='Growth &amp; timing'!B5+'Growth &amp; timing'!B9,D49*((1-'Growth &amp; timing'!B12)^(1/12))+'Growth &amp; timing'!B10,D49*(1+'Growth &amp; timing'!B11)^(1/12))))</f>
        <v>48.750996849508446</v>
      </c>
      <c r="E50" s="52">
        <f>ROUND(D50*'Growth &amp; timing'!B6,0)</f>
        <v>122</v>
      </c>
      <c r="F50" s="14">
        <f>E50*N50*IF(AND(A50&gt;='Growth &amp; timing'!B5+1,A50&lt;='Growth &amp; timing'!B5+12),'Growth &amp; timing'!B7,1)</f>
        <v>589080.59900000005</v>
      </c>
      <c r="G50" s="14">
        <f t="shared" si="3"/>
        <v>7068967.188000001</v>
      </c>
      <c r="H50" s="14">
        <f>E50*(L50*'Throughput → collections'!B8/12)*('AI-Scribe &amp; Azure'!B31+'Cost-to-serve (per encounter-cl'!B7)+E50*(L50*'Throughput → collections'!B8/12)*'Cost-to-serve (per encounter-cl'!B6*'Cost-to-serve (per encounter-cl'!B5+E50*'Cost-to-serve (per encounter-cl'!B9/12+'Cost-to-serve (per encounter-cl'!B10/12+'Staffing &amp; FTE'!Q66</f>
        <v>139969.0802482639</v>
      </c>
      <c r="I50" s="14">
        <f>'Staffing &amp; FTE'!R66+('Operating costs (fixed)'!B15-'Operating costs (fixed)'!B7)*(1+'Operating costs (fixed)'!B13)^(INT((A50-1)/12))+'Operating costs (fixed)'!B7*MIN(1,(A50-1)/12/'Operating costs (fixed)'!B8)+MAX(0,E50-E49)*'Operating costs (fixed)'!B11</f>
        <v>301181.15061874146</v>
      </c>
      <c r="J50" s="14">
        <f t="shared" si="4"/>
        <v>147930.36813299468</v>
      </c>
      <c r="K50" s="14">
        <f>K49+J50+IF(A50='Financing &amp; returns'!B13,'Financing &amp; returns'!B12,0)</f>
        <v>1368574.4158075603</v>
      </c>
      <c r="L50" s="55">
        <f>MIN('Throughput → collections'!B6,'Throughput → collections'!B5+('Throughput → collections'!B6-'Throughput → collections'!B5)*MIN(MAX(0,(A50-('Growth &amp; timing'!B5+1))/12),'Throughput → collections'!B7)/'Throughput → collections'!B7)</f>
        <v>27.555555555555557</v>
      </c>
      <c r="M50" s="14">
        <f>L50*'Throughput → collections'!B8*'Throughput → collections'!B9</f>
        <v>1054000</v>
      </c>
      <c r="N50" s="14">
        <f>(Pricing!B7*Pricing!B5+(1-Pricing!B7)*Pricing!B6)+(M50*'Throughput → collections'!B10*Pricing!B8*Pricing!B9)/12</f>
        <v>4828.5295000000006</v>
      </c>
    </row>
    <row r="51" spans="1:14" x14ac:dyDescent="0.25">
      <c r="A51" s="135">
        <v>46</v>
      </c>
      <c r="B51" s="54" t="str">
        <f>IF(A51&lt;='Growth &amp; timing'!B5,"Dev",IF(A51&lt;='Growth &amp; timing'!B5+'Growth &amp; timing'!B9,"Testing","Explosion"))</f>
        <v>Explosion</v>
      </c>
      <c r="C51" s="52">
        <f t="shared" si="5"/>
        <v>3.6713740574323666</v>
      </c>
      <c r="D51" s="52">
        <f>IF(A51&lt;='Growth &amp; timing'!B5,0,IF(A51='Growth &amp; timing'!B5+1,'Growth &amp; timing'!B8,IF(A51&lt;='Growth &amp; timing'!B5+'Growth &amp; timing'!B9,D50*((1-'Growth &amp; timing'!B12)^(1/12))+'Growth &amp; timing'!B10,D50*(1+'Growth &amp; timing'!B11)^(1/12))))</f>
        <v>52.422370906940813</v>
      </c>
      <c r="E51" s="52">
        <f>ROUND(D51*'Growth &amp; timing'!B6,0)</f>
        <v>131</v>
      </c>
      <c r="F51" s="14">
        <f>E51*N51*IF(AND(A51&gt;='Growth &amp; timing'!B5+1,A51&lt;='Growth &amp; timing'!B5+12),'Growth &amp; timing'!B7,1)</f>
        <v>637079.609375</v>
      </c>
      <c r="G51" s="14">
        <f t="shared" si="3"/>
        <v>7644955.3125</v>
      </c>
      <c r="H51" s="14">
        <f>E51*(L51*'Throughput → collections'!B8/12)*('AI-Scribe &amp; Azure'!B31+'Cost-to-serve (per encounter-cl'!B7)+E51*(L51*'Throughput → collections'!B8/12)*'Cost-to-serve (per encounter-cl'!B6*'Cost-to-serve (per encounter-cl'!B5+E51*'Cost-to-serve (per encounter-cl'!B9/12+'Cost-to-serve (per encounter-cl'!B10/12+'Staffing &amp; FTE'!Q67</f>
        <v>144034.1401638455</v>
      </c>
      <c r="I51" s="14">
        <f>'Staffing &amp; FTE'!R67+('Operating costs (fixed)'!B15-'Operating costs (fixed)'!B7)*(1+'Operating costs (fixed)'!B13)^(INT((A51-1)/12))+'Operating costs (fixed)'!B7*MIN(1,(A51-1)/12/'Operating costs (fixed)'!B8)+MAX(0,E51-E50)*'Operating costs (fixed)'!B11</f>
        <v>301181.15061874146</v>
      </c>
      <c r="J51" s="14">
        <f t="shared" si="4"/>
        <v>191864.31859241304</v>
      </c>
      <c r="K51" s="14">
        <f>K50+J51+IF(A51='Financing &amp; returns'!B13,'Financing &amp; returns'!B12,0)</f>
        <v>1560438.7343999734</v>
      </c>
      <c r="L51" s="55">
        <f>MIN('Throughput → collections'!B6,'Throughput → collections'!B5+('Throughput → collections'!B6-'Throughput → collections'!B5)*MIN(MAX(0,(A51-('Growth &amp; timing'!B5+1))/12),'Throughput → collections'!B7)/'Throughput → collections'!B7)</f>
        <v>27.777777777777779</v>
      </c>
      <c r="M51" s="14">
        <f>L51*'Throughput → collections'!B8*'Throughput → collections'!B9</f>
        <v>1062500</v>
      </c>
      <c r="N51" s="14">
        <f>(Pricing!B7*Pricing!B5+(1-Pricing!B7)*Pricing!B6)+(M51*'Throughput → collections'!B10*Pricing!B8*Pricing!B9)/12</f>
        <v>4863.203125</v>
      </c>
    </row>
    <row r="52" spans="1:14" x14ac:dyDescent="0.25">
      <c r="A52" s="135">
        <v>47</v>
      </c>
      <c r="B52" s="54" t="str">
        <f>IF(A52&lt;='Growth &amp; timing'!B5,"Dev",IF(A52&lt;='Growth &amp; timing'!B5+'Growth &amp; timing'!B9,"Testing","Explosion"))</f>
        <v>Explosion</v>
      </c>
      <c r="C52" s="52">
        <f t="shared" si="5"/>
        <v>3.9478604544427967</v>
      </c>
      <c r="D52" s="52">
        <f>IF(A52&lt;='Growth &amp; timing'!B5,0,IF(A52='Growth &amp; timing'!B5+1,'Growth &amp; timing'!B8,IF(A52&lt;='Growth &amp; timing'!B5+'Growth &amp; timing'!B9,D51*((1-'Growth &amp; timing'!B12)^(1/12))+'Growth &amp; timing'!B10,D51*(1+'Growth &amp; timing'!B11)^(1/12))))</f>
        <v>56.37023136138361</v>
      </c>
      <c r="E52" s="52">
        <f>ROUND(D52*'Growth &amp; timing'!B6,0)</f>
        <v>141</v>
      </c>
      <c r="F52" s="14">
        <f>E52*N52*IF(AND(A52&gt;='Growth &amp; timing'!B5+1,A52&lt;='Growth &amp; timing'!B5+12),'Growth &amp; timing'!B7,1)</f>
        <v>690600.62175000005</v>
      </c>
      <c r="G52" s="14">
        <f t="shared" si="3"/>
        <v>8287207.4610000011</v>
      </c>
      <c r="H52" s="14">
        <f>E52*(L52*'Throughput → collections'!B8/12)*('AI-Scribe &amp; Azure'!B31+'Cost-to-serve (per encounter-cl'!B7)+E52*(L52*'Throughput → collections'!B8/12)*'Cost-to-serve (per encounter-cl'!B6*'Cost-to-serve (per encounter-cl'!B5+E52*'Cost-to-serve (per encounter-cl'!B9/12+'Cost-to-serve (per encounter-cl'!B10/12+'Staffing &amp; FTE'!Q68</f>
        <v>154234.30590234374</v>
      </c>
      <c r="I52" s="14">
        <f>'Staffing &amp; FTE'!R68+('Operating costs (fixed)'!B15-'Operating costs (fixed)'!B7)*(1+'Operating costs (fixed)'!B13)^(INT((A52-1)/12))+'Operating costs (fixed)'!B7*MIN(1,(A52-1)/12/'Operating costs (fixed)'!B8)+MAX(0,E52-E51)*'Operating costs (fixed)'!B11</f>
        <v>301181.15061874146</v>
      </c>
      <c r="J52" s="14">
        <f t="shared" si="4"/>
        <v>235185.16522891488</v>
      </c>
      <c r="K52" s="14">
        <f>K51+J52+IF(A52='Financing &amp; returns'!B13,'Financing &amp; returns'!B12,0)</f>
        <v>1795623.8996288883</v>
      </c>
      <c r="L52" s="55">
        <f>MIN('Throughput → collections'!B6,'Throughput → collections'!B5+('Throughput → collections'!B6-'Throughput → collections'!B5)*MIN(MAX(0,(A52-('Growth &amp; timing'!B5+1))/12),'Throughput → collections'!B7)/'Throughput → collections'!B7)</f>
        <v>28</v>
      </c>
      <c r="M52" s="14">
        <f>L52*'Throughput → collections'!B8*'Throughput → collections'!B9</f>
        <v>1071000</v>
      </c>
      <c r="N52" s="14">
        <f>(Pricing!B7*Pricing!B5+(1-Pricing!B7)*Pricing!B6)+(M52*'Throughput → collections'!B10*Pricing!B8*Pricing!B9)/12</f>
        <v>4897.8767500000004</v>
      </c>
    </row>
    <row r="53" spans="1:14" x14ac:dyDescent="0.25">
      <c r="A53" s="135">
        <v>48</v>
      </c>
      <c r="B53" s="54" t="str">
        <f>IF(A53&lt;='Growth &amp; timing'!B5,"Dev",IF(A53&lt;='Growth &amp; timing'!B5+'Growth &amp; timing'!B9,"Testing","Explosion"))</f>
        <v>Explosion</v>
      </c>
      <c r="C53" s="52">
        <f t="shared" si="5"/>
        <v>4.2451686817913981</v>
      </c>
      <c r="D53" s="52">
        <f>IF(A53&lt;='Growth &amp; timing'!B5,0,IF(A53='Growth &amp; timing'!B5+1,'Growth &amp; timing'!B8,IF(A53&lt;='Growth &amp; timing'!B5+'Growth &amp; timing'!B9,D52*((1-'Growth &amp; timing'!B12)^(1/12))+'Growth &amp; timing'!B10,D52*(1+'Growth &amp; timing'!B11)^(1/12))))</f>
        <v>60.615400043175008</v>
      </c>
      <c r="E53" s="52">
        <f>ROUND(D53*'Growth &amp; timing'!B6,0)</f>
        <v>152</v>
      </c>
      <c r="F53" s="14">
        <f>E53*N53*IF(AND(A53&gt;='Growth &amp; timing'!B5+1,A53&lt;='Growth &amp; timing'!B5+12),'Growth &amp; timing'!B7,1)</f>
        <v>744477.26600000006</v>
      </c>
      <c r="G53" s="14">
        <f t="shared" si="3"/>
        <v>8933727.1920000017</v>
      </c>
      <c r="H53" s="14">
        <f>E53*(L53*'Throughput → collections'!B8/12)*('AI-Scribe &amp; Azure'!B31+'Cost-to-serve (per encounter-cl'!B7)+E53*(L53*'Throughput → collections'!B8/12)*'Cost-to-serve (per encounter-cl'!B6*'Cost-to-serve (per encounter-cl'!B5+E53*'Cost-to-serve (per encounter-cl'!B9/12+'Cost-to-serve (per encounter-cl'!B10/12+'Staffing &amp; FTE'!Q69</f>
        <v>173360.74111458333</v>
      </c>
      <c r="I53" s="14">
        <f>'Staffing &amp; FTE'!R69+('Operating costs (fixed)'!B15-'Operating costs (fixed)'!B7)*(1+'Operating costs (fixed)'!B13)^(INT((A53-1)/12))+'Operating costs (fixed)'!B7*MIN(1,(A53-1)/12/'Operating costs (fixed)'!B8)+MAX(0,E53-E52)*'Operating costs (fixed)'!B11</f>
        <v>301181.15061874146</v>
      </c>
      <c r="J53" s="14">
        <f t="shared" si="4"/>
        <v>269935.37426667527</v>
      </c>
      <c r="K53" s="14">
        <f>K52+J53+IF(A53='Financing &amp; returns'!B13,'Financing &amp; returns'!B12,0)</f>
        <v>2065559.2738955636</v>
      </c>
      <c r="L53" s="55">
        <f>MIN('Throughput → collections'!B6,'Throughput → collections'!B5+('Throughput → collections'!B6-'Throughput → collections'!B5)*MIN(MAX(0,(A53-('Growth &amp; timing'!B5+1))/12),'Throughput → collections'!B7)/'Throughput → collections'!B7)</f>
        <v>28</v>
      </c>
      <c r="M53" s="14">
        <f>L53*'Throughput → collections'!B8*'Throughput → collections'!B9</f>
        <v>1071000</v>
      </c>
      <c r="N53" s="14">
        <f>(Pricing!B7*Pricing!B5+(1-Pricing!B7)*Pricing!B6)+(M53*'Throughput → collections'!B10*Pricing!B8*Pricing!B9)/12</f>
        <v>4897.8767500000004</v>
      </c>
    </row>
    <row r="54" spans="1:14" x14ac:dyDescent="0.25">
      <c r="A54" s="135">
        <v>49</v>
      </c>
      <c r="B54" s="54" t="str">
        <f>IF(A54&lt;='Growth &amp; timing'!B5,"Dev",IF(A54&lt;='Growth &amp; timing'!B5+'Growth &amp; timing'!B9,"Testing","Explosion"))</f>
        <v>Explosion</v>
      </c>
      <c r="C54" s="52">
        <f t="shared" si="5"/>
        <v>4.5648668043931835</v>
      </c>
      <c r="D54" s="52">
        <f>IF(A54&lt;='Growth &amp; timing'!B5,0,IF(A54='Growth &amp; timing'!B5+1,'Growth &amp; timing'!B8,IF(A54&lt;='Growth &amp; timing'!B5+'Growth &amp; timing'!B9,D53*((1-'Growth &amp; timing'!B12)^(1/12))+'Growth &amp; timing'!B10,D53*(1+'Growth &amp; timing'!B11)^(1/12))))</f>
        <v>65.180266847568191</v>
      </c>
      <c r="E54" s="52">
        <f>ROUND(D54*'Growth &amp; timing'!B6,0)</f>
        <v>163</v>
      </c>
      <c r="F54" s="14">
        <f>E54*N54*IF(AND(A54&gt;='Growth &amp; timing'!B5+1,A54&lt;='Growth &amp; timing'!B5+12),'Growth &amp; timing'!B7,1)</f>
        <v>798353.91025000007</v>
      </c>
      <c r="G54" s="14">
        <f t="shared" si="3"/>
        <v>9580246.9230000004</v>
      </c>
      <c r="H54" s="14">
        <f>E54*(L54*'Throughput → collections'!B8/12)*('AI-Scribe &amp; Azure'!B31+'Cost-to-serve (per encounter-cl'!B7)+E54*(L54*'Throughput → collections'!B8/12)*'Cost-to-serve (per encounter-cl'!B6*'Cost-to-serve (per encounter-cl'!B5+E54*'Cost-to-serve (per encounter-cl'!B9/12+'Cost-to-serve (per encounter-cl'!B10/12+'Staffing &amp; FTE'!Q70</f>
        <v>183570.50966015624</v>
      </c>
      <c r="I54" s="14">
        <f>'Staffing &amp; FTE'!R70+('Operating costs (fixed)'!B15-'Operating costs (fixed)'!B7)*(1+'Operating costs (fixed)'!B13)^(INT((A54-1)/12))+'Operating costs (fixed)'!B7*MIN(1,(A54-1)/12/'Operating costs (fixed)'!B8)+MAX(0,E54-E53)*'Operating costs (fixed)'!B11</f>
        <v>331367.84361250809</v>
      </c>
      <c r="J54" s="14">
        <f t="shared" si="4"/>
        <v>283415.55697733577</v>
      </c>
      <c r="K54" s="14">
        <f>K53+J54+IF(A54='Financing &amp; returns'!B13,'Financing &amp; returns'!B12,0)</f>
        <v>2348974.8308728994</v>
      </c>
      <c r="L54" s="55">
        <f>MIN('Throughput → collections'!B6,'Throughput → collections'!B5+('Throughput → collections'!B6-'Throughput → collections'!B5)*MIN(MAX(0,(A54-('Growth &amp; timing'!B5+1))/12),'Throughput → collections'!B7)/'Throughput → collections'!B7)</f>
        <v>28</v>
      </c>
      <c r="M54" s="14">
        <f>L54*'Throughput → collections'!B8*'Throughput → collections'!B9</f>
        <v>1071000</v>
      </c>
      <c r="N54" s="14">
        <f>(Pricing!B7*Pricing!B5+(1-Pricing!B7)*Pricing!B6)+(M54*'Throughput → collections'!B10*Pricing!B8*Pricing!B9)/12</f>
        <v>4897.8767500000004</v>
      </c>
    </row>
    <row r="55" spans="1:14" x14ac:dyDescent="0.25">
      <c r="A55" s="135">
        <v>50</v>
      </c>
      <c r="B55" s="54" t="str">
        <f>IF(A55&lt;='Growth &amp; timing'!B5,"Dev",IF(A55&lt;='Growth &amp; timing'!B5+'Growth &amp; timing'!B9,"Testing","Explosion"))</f>
        <v>Explosion</v>
      </c>
      <c r="C55" s="52">
        <f t="shared" si="5"/>
        <v>4.9086409760889609</v>
      </c>
      <c r="D55" s="52">
        <f>IF(A55&lt;='Growth &amp; timing'!B5,0,IF(A55='Growth &amp; timing'!B5+1,'Growth &amp; timing'!B8,IF(A55&lt;='Growth &amp; timing'!B5+'Growth &amp; timing'!B9,D54*((1-'Growth &amp; timing'!B12)^(1/12))+'Growth &amp; timing'!B10,D54*(1+'Growth &amp; timing'!B11)^(1/12))))</f>
        <v>70.088907823657152</v>
      </c>
      <c r="E55" s="52">
        <f>ROUND(D55*'Growth &amp; timing'!B6,0)</f>
        <v>175</v>
      </c>
      <c r="F55" s="14">
        <f>E55*N55*IF(AND(A55&gt;='Growth &amp; timing'!B5+1,A55&lt;='Growth &amp; timing'!B5+12),'Growth &amp; timing'!B7,1)</f>
        <v>857128.43125000002</v>
      </c>
      <c r="G55" s="14">
        <f t="shared" si="3"/>
        <v>10285541.175000001</v>
      </c>
      <c r="H55" s="14">
        <f>E55*(L55*'Throughput → collections'!B8/12)*('AI-Scribe &amp; Azure'!B31+'Cost-to-serve (per encounter-cl'!B7)+E55*(L55*'Throughput → collections'!B8/12)*'Cost-to-serve (per encounter-cl'!B6*'Cost-to-serve (per encounter-cl'!B5+E55*'Cost-to-serve (per encounter-cl'!B9/12+'Cost-to-serve (per encounter-cl'!B10/12+'Staffing &amp; FTE'!Q71</f>
        <v>188526.62080078124</v>
      </c>
      <c r="I55" s="14">
        <f>'Staffing &amp; FTE'!R71+('Operating costs (fixed)'!B15-'Operating costs (fixed)'!B7)*(1+'Operating costs (fixed)'!B13)^(INT((A55-1)/12))+'Operating costs (fixed)'!B7*MIN(1,(A55-1)/12/'Operating costs (fixed)'!B8)+MAX(0,E55-E54)*'Operating costs (fixed)'!B11</f>
        <v>331367.84361250809</v>
      </c>
      <c r="J55" s="14">
        <f t="shared" si="4"/>
        <v>337233.96683671075</v>
      </c>
      <c r="K55" s="14">
        <f>K54+J55+IF(A55='Financing &amp; returns'!B13,'Financing &amp; returns'!B12,0)</f>
        <v>2686208.7977096103</v>
      </c>
      <c r="L55" s="55">
        <f>MIN('Throughput → collections'!B6,'Throughput → collections'!B5+('Throughput → collections'!B6-'Throughput → collections'!B5)*MIN(MAX(0,(A55-('Growth &amp; timing'!B5+1))/12),'Throughput → collections'!B7)/'Throughput → collections'!B7)</f>
        <v>28</v>
      </c>
      <c r="M55" s="14">
        <f>L55*'Throughput → collections'!B8*'Throughput → collections'!B9</f>
        <v>1071000</v>
      </c>
      <c r="N55" s="14">
        <f>(Pricing!B7*Pricing!B5+(1-Pricing!B7)*Pricing!B6)+(M55*'Throughput → collections'!B10*Pricing!B8*Pricing!B9)/12</f>
        <v>4897.8767500000004</v>
      </c>
    </row>
    <row r="56" spans="1:14" x14ac:dyDescent="0.25">
      <c r="A56" s="135">
        <v>51</v>
      </c>
      <c r="B56" s="54" t="str">
        <f>IF(A56&lt;='Growth &amp; timing'!B5,"Dev",IF(A56&lt;='Growth &amp; timing'!B5+'Growth &amp; timing'!B9,"Testing","Explosion"))</f>
        <v>Explosion</v>
      </c>
      <c r="C56" s="52">
        <f t="shared" si="5"/>
        <v>5.2783043327684851</v>
      </c>
      <c r="D56" s="52">
        <f>IF(A56&lt;='Growth &amp; timing'!B5,0,IF(A56='Growth &amp; timing'!B5+1,'Growth &amp; timing'!B8,IF(A56&lt;='Growth &amp; timing'!B5+'Growth &amp; timing'!B9,D55*((1-'Growth &amp; timing'!B12)^(1/12))+'Growth &amp; timing'!B10,D55*(1+'Growth &amp; timing'!B11)^(1/12))))</f>
        <v>75.367212156425637</v>
      </c>
      <c r="E56" s="52">
        <f>ROUND(D56*'Growth &amp; timing'!B6,0)</f>
        <v>188</v>
      </c>
      <c r="F56" s="14">
        <f>E56*N56*IF(AND(A56&gt;='Growth &amp; timing'!B5+1,A56&lt;='Growth &amp; timing'!B5+12),'Growth &amp; timing'!B7,1)</f>
        <v>920800.82900000003</v>
      </c>
      <c r="G56" s="14">
        <f t="shared" si="3"/>
        <v>11049609.948000001</v>
      </c>
      <c r="H56" s="14">
        <f>E56*(L56*'Throughput → collections'!B8/12)*('AI-Scribe &amp; Azure'!B31+'Cost-to-serve (per encounter-cl'!B7)+E56*(L56*'Throughput → collections'!B8/12)*'Cost-to-serve (per encounter-cl'!B6*'Cost-to-serve (per encounter-cl'!B5+E56*'Cost-to-serve (per encounter-cl'!B9/12+'Cost-to-serve (per encounter-cl'!B10/12+'Staffing &amp; FTE'!Q72</f>
        <v>204562.40786979167</v>
      </c>
      <c r="I56" s="14">
        <f>'Staffing &amp; FTE'!R72+('Operating costs (fixed)'!B15-'Operating costs (fixed)'!B7)*(1+'Operating costs (fixed)'!B13)^(INT((A56-1)/12))+'Operating costs (fixed)'!B7*MIN(1,(A56-1)/12/'Operating costs (fixed)'!B8)+MAX(0,E56-E55)*'Operating costs (fixed)'!B11</f>
        <v>331367.84361250809</v>
      </c>
      <c r="J56" s="14">
        <f t="shared" si="4"/>
        <v>384870.57751770021</v>
      </c>
      <c r="K56" s="14">
        <f>K55+J56+IF(A56='Financing &amp; returns'!B13,'Financing &amp; returns'!B12,0)</f>
        <v>3071079.3752273107</v>
      </c>
      <c r="L56" s="55">
        <f>MIN('Throughput → collections'!B6,'Throughput → collections'!B5+('Throughput → collections'!B6-'Throughput → collections'!B5)*MIN(MAX(0,(A56-('Growth &amp; timing'!B5+1))/12),'Throughput → collections'!B7)/'Throughput → collections'!B7)</f>
        <v>28</v>
      </c>
      <c r="M56" s="14">
        <f>L56*'Throughput → collections'!B8*'Throughput → collections'!B9</f>
        <v>1071000</v>
      </c>
      <c r="N56" s="14">
        <f>(Pricing!B7*Pricing!B5+(1-Pricing!B7)*Pricing!B6)+(M56*'Throughput → collections'!B10*Pricing!B8*Pricing!B9)/12</f>
        <v>4897.8767500000004</v>
      </c>
    </row>
    <row r="57" spans="1:14" x14ac:dyDescent="0.25">
      <c r="A57" s="135">
        <v>52</v>
      </c>
      <c r="B57" s="54" t="str">
        <f>IF(A57&lt;='Growth &amp; timing'!B5,"Dev",IF(A57&lt;='Growth &amp; timing'!B5+'Growth &amp; timing'!B9,"Testing","Explosion"))</f>
        <v>Explosion</v>
      </c>
      <c r="C57" s="52">
        <f t="shared" si="5"/>
        <v>5.6758065552231329</v>
      </c>
      <c r="D57" s="52">
        <f>IF(A57&lt;='Growth &amp; timing'!B5,0,IF(A57='Growth &amp; timing'!B5+1,'Growth &amp; timing'!B8,IF(A57&lt;='Growth &amp; timing'!B5+'Growth &amp; timing'!B9,D56*((1-'Growth &amp; timing'!B12)^(1/12))+'Growth &amp; timing'!B10,D56*(1+'Growth &amp; timing'!B11)^(1/12))))</f>
        <v>81.04301871164877</v>
      </c>
      <c r="E57" s="52">
        <f>ROUND(D57*'Growth &amp; timing'!B6,0)</f>
        <v>203</v>
      </c>
      <c r="F57" s="14">
        <f>E57*N57*IF(AND(A57&gt;='Growth &amp; timing'!B5+1,A57&lt;='Growth &amp; timing'!B5+12),'Growth &amp; timing'!B7,1)</f>
        <v>994268.98025000002</v>
      </c>
      <c r="G57" s="14">
        <f t="shared" si="3"/>
        <v>11931227.763</v>
      </c>
      <c r="H57" s="14">
        <f>E57*(L57*'Throughput → collections'!B8/12)*('AI-Scribe &amp; Azure'!B31+'Cost-to-serve (per encounter-cl'!B7)+E57*(L57*'Throughput → collections'!B8/12)*'Cost-to-serve (per encounter-cl'!B6*'Cost-to-serve (per encounter-cl'!B5+E57*'Cost-to-serve (per encounter-cl'!B9/12+'Cost-to-serve (per encounter-cl'!B10/12+'Staffing &amp; FTE'!Q73</f>
        <v>224340.88012890628</v>
      </c>
      <c r="I57" s="14">
        <f>'Staffing &amp; FTE'!R73+('Operating costs (fixed)'!B15-'Operating costs (fixed)'!B7)*(1+'Operating costs (fixed)'!B13)^(INT((A57-1)/12))+'Operating costs (fixed)'!B7*MIN(1,(A57-1)/12/'Operating costs (fixed)'!B8)+MAX(0,E57-E56)*'Operating costs (fixed)'!B11</f>
        <v>342367.84361250809</v>
      </c>
      <c r="J57" s="14">
        <f t="shared" si="4"/>
        <v>427560.25650858559</v>
      </c>
      <c r="K57" s="14">
        <f>K56+J57+IF(A57='Financing &amp; returns'!B13,'Financing &amp; returns'!B12,0)</f>
        <v>3498639.6317358962</v>
      </c>
      <c r="L57" s="55">
        <f>MIN('Throughput → collections'!B6,'Throughput → collections'!B5+('Throughput → collections'!B6-'Throughput → collections'!B5)*MIN(MAX(0,(A57-('Growth &amp; timing'!B5+1))/12),'Throughput → collections'!B7)/'Throughput → collections'!B7)</f>
        <v>28</v>
      </c>
      <c r="M57" s="14">
        <f>L57*'Throughput → collections'!B8*'Throughput → collections'!B9</f>
        <v>1071000</v>
      </c>
      <c r="N57" s="14">
        <f>(Pricing!B7*Pricing!B5+(1-Pricing!B7)*Pricing!B6)+(M57*'Throughput → collections'!B10*Pricing!B8*Pricing!B9)/12</f>
        <v>4897.8767500000004</v>
      </c>
    </row>
    <row r="58" spans="1:14" x14ac:dyDescent="0.25">
      <c r="A58" s="135">
        <v>53</v>
      </c>
      <c r="B58" s="54" t="str">
        <f>IF(A58&lt;='Growth &amp; timing'!B5,"Dev",IF(A58&lt;='Growth &amp; timing'!B5+'Growth &amp; timing'!B9,"Testing","Explosion"))</f>
        <v>Explosion</v>
      </c>
      <c r="C58" s="52">
        <f t="shared" si="5"/>
        <v>6.1032441521645211</v>
      </c>
      <c r="D58" s="52">
        <f>IF(A58&lt;='Growth &amp; timing'!B5,0,IF(A58='Growth &amp; timing'!B5+1,'Growth &amp; timing'!B8,IF(A58&lt;='Growth &amp; timing'!B5+'Growth &amp; timing'!B9,D57*((1-'Growth &amp; timing'!B12)^(1/12))+'Growth &amp; timing'!B10,D57*(1+'Growth &amp; timing'!B11)^(1/12))))</f>
        <v>87.146262863813291</v>
      </c>
      <c r="E58" s="52">
        <f>ROUND(D58*'Growth &amp; timing'!B6,0)</f>
        <v>218</v>
      </c>
      <c r="F58" s="14">
        <f>E58*N58*IF(AND(A58&gt;='Growth &amp; timing'!B5+1,A58&lt;='Growth &amp; timing'!B5+12),'Growth &amp; timing'!B7,1)</f>
        <v>1067737.1315000001</v>
      </c>
      <c r="G58" s="14">
        <f t="shared" si="3"/>
        <v>12812845.578000002</v>
      </c>
      <c r="H58" s="14">
        <f>E58*(L58*'Throughput → collections'!B8/12)*('AI-Scribe &amp; Azure'!B31+'Cost-to-serve (per encounter-cl'!B7)+E58*(L58*'Throughput → collections'!B8/12)*'Cost-to-serve (per encounter-cl'!B6*'Cost-to-serve (per encounter-cl'!B5+E58*'Cost-to-serve (per encounter-cl'!B9/12+'Cost-to-serve (per encounter-cl'!B10/12+'Staffing &amp; FTE'!Q74</f>
        <v>249336.01905468752</v>
      </c>
      <c r="I58" s="14">
        <f>'Staffing &amp; FTE'!R74+('Operating costs (fixed)'!B15-'Operating costs (fixed)'!B7)*(1+'Operating costs (fixed)'!B13)^(INT((A58-1)/12))+'Operating costs (fixed)'!B7*MIN(1,(A58-1)/12/'Operating costs (fixed)'!B8)+MAX(0,E58-E57)*'Operating costs (fixed)'!B11</f>
        <v>363534.51027917478</v>
      </c>
      <c r="J58" s="14">
        <f t="shared" si="4"/>
        <v>454866.60216613777</v>
      </c>
      <c r="K58" s="14">
        <f>K57+J58+IF(A58='Financing &amp; returns'!B13,'Financing &amp; returns'!B12,0)</f>
        <v>3953506.2339020339</v>
      </c>
      <c r="L58" s="55">
        <f>MIN('Throughput → collections'!B6,'Throughput → collections'!B5+('Throughput → collections'!B6-'Throughput → collections'!B5)*MIN(MAX(0,(A58-('Growth &amp; timing'!B5+1))/12),'Throughput → collections'!B7)/'Throughput → collections'!B7)</f>
        <v>28</v>
      </c>
      <c r="M58" s="14">
        <f>L58*'Throughput → collections'!B8*'Throughput → collections'!B9</f>
        <v>1071000</v>
      </c>
      <c r="N58" s="14">
        <f>(Pricing!B7*Pricing!B5+(1-Pricing!B7)*Pricing!B6)+(M58*'Throughput → collections'!B10*Pricing!B8*Pricing!B9)/12</f>
        <v>4897.8767500000004</v>
      </c>
    </row>
    <row r="59" spans="1:14" x14ac:dyDescent="0.25">
      <c r="A59" s="135">
        <v>54</v>
      </c>
      <c r="B59" s="54" t="str">
        <f>IF(A59&lt;='Growth &amp; timing'!B5,"Dev",IF(A59&lt;='Growth &amp; timing'!B5+'Growth &amp; timing'!B9,"Testing","Explosion"))</f>
        <v>Explosion</v>
      </c>
      <c r="C59" s="52">
        <f t="shared" si="5"/>
        <v>6.5628715176438845</v>
      </c>
      <c r="D59" s="52">
        <f>IF(A59&lt;='Growth &amp; timing'!B5,0,IF(A59='Growth &amp; timing'!B5+1,'Growth &amp; timing'!B8,IF(A59&lt;='Growth &amp; timing'!B5+'Growth &amp; timing'!B9,D58*((1-'Growth &amp; timing'!B12)^(1/12))+'Growth &amp; timing'!B10,D58*(1+'Growth &amp; timing'!B11)^(1/12))))</f>
        <v>93.709134381457176</v>
      </c>
      <c r="E59" s="52">
        <f>ROUND(D59*'Growth &amp; timing'!B6,0)</f>
        <v>234</v>
      </c>
      <c r="F59" s="14">
        <f>E59*N59*IF(AND(A59&gt;='Growth &amp; timing'!B5+1,A59&lt;='Growth &amp; timing'!B5+12),'Growth &amp; timing'!B7,1)</f>
        <v>1146103.1595000001</v>
      </c>
      <c r="G59" s="14">
        <f t="shared" si="3"/>
        <v>13753237.914000001</v>
      </c>
      <c r="H59" s="14">
        <f>E59*(L59*'Throughput → collections'!B8/12)*('AI-Scribe &amp; Azure'!B31+'Cost-to-serve (per encounter-cl'!B7)+E59*(L59*'Throughput → collections'!B8/12)*'Cost-to-serve (per encounter-cl'!B6*'Cost-to-serve (per encounter-cl'!B5+E59*'Cost-to-serve (per encounter-cl'!B9/12+'Cost-to-serve (per encounter-cl'!B10/12+'Staffing &amp; FTE'!Q75</f>
        <v>262744.16724218754</v>
      </c>
      <c r="I59" s="14">
        <f>'Staffing &amp; FTE'!R75+('Operating costs (fixed)'!B15-'Operating costs (fixed)'!B7)*(1+'Operating costs (fixed)'!B13)^(INT((A59-1)/12))+'Operating costs (fixed)'!B7*MIN(1,(A59-1)/12/'Operating costs (fixed)'!B8)+MAX(0,E59-E58)*'Operating costs (fixed)'!B11</f>
        <v>374534.51027917478</v>
      </c>
      <c r="J59" s="14">
        <f t="shared" si="4"/>
        <v>508824.48197863775</v>
      </c>
      <c r="K59" s="14">
        <f>K58+J59+IF(A59='Financing &amp; returns'!B13,'Financing &amp; returns'!B12,0)</f>
        <v>4462330.7158806715</v>
      </c>
      <c r="L59" s="55">
        <f>MIN('Throughput → collections'!B6,'Throughput → collections'!B5+('Throughput → collections'!B6-'Throughput → collections'!B5)*MIN(MAX(0,(A59-('Growth &amp; timing'!B5+1))/12),'Throughput → collections'!B7)/'Throughput → collections'!B7)</f>
        <v>28</v>
      </c>
      <c r="M59" s="14">
        <f>L59*'Throughput → collections'!B8*'Throughput → collections'!B9</f>
        <v>1071000</v>
      </c>
      <c r="N59" s="14">
        <f>(Pricing!B7*Pricing!B5+(1-Pricing!B7)*Pricing!B6)+(M59*'Throughput → collections'!B10*Pricing!B8*Pricing!B9)/12</f>
        <v>4897.8767500000004</v>
      </c>
    </row>
    <row r="60" spans="1:14" x14ac:dyDescent="0.25">
      <c r="A60" s="135">
        <v>55</v>
      </c>
      <c r="B60" s="54" t="str">
        <f>IF(A60&lt;='Growth &amp; timing'!B5,"Dev",IF(A60&lt;='Growth &amp; timing'!B5+'Growth &amp; timing'!B9,"Testing","Explosion"))</f>
        <v>Explosion</v>
      </c>
      <c r="C60" s="52">
        <f t="shared" si="5"/>
        <v>7.0571128211913532</v>
      </c>
      <c r="D60" s="52">
        <f>IF(A60&lt;='Growth &amp; timing'!B5,0,IF(A60='Growth &amp; timing'!B5+1,'Growth &amp; timing'!B8,IF(A60&lt;='Growth &amp; timing'!B5+'Growth &amp; timing'!B9,D59*((1-'Growth &amp; timing'!B12)^(1/12))+'Growth &amp; timing'!B10,D59*(1+'Growth &amp; timing'!B11)^(1/12))))</f>
        <v>100.76624720264853</v>
      </c>
      <c r="E60" s="52">
        <f>ROUND(D60*'Growth &amp; timing'!B6,0)</f>
        <v>252</v>
      </c>
      <c r="F60" s="14">
        <f>E60*N60*IF(AND(A60&gt;='Growth &amp; timing'!B5+1,A60&lt;='Growth &amp; timing'!B5+12),'Growth &amp; timing'!B7,1)</f>
        <v>1234264.9410000001</v>
      </c>
      <c r="G60" s="14">
        <f t="shared" si="3"/>
        <v>14811179.292000001</v>
      </c>
      <c r="H60" s="14">
        <f>E60*(L60*'Throughput → collections'!B8/12)*('AI-Scribe &amp; Azure'!B31+'Cost-to-serve (per encounter-cl'!B7)+E60*(L60*'Throughput → collections'!B8/12)*'Cost-to-serve (per encounter-cl'!B6*'Cost-to-serve (per encounter-cl'!B5+E60*'Cost-to-serve (per encounter-cl'!B9/12+'Cost-to-serve (per encounter-cl'!B10/12+'Staffing &amp; FTE'!Q76</f>
        <v>286978.33395312505</v>
      </c>
      <c r="I60" s="14">
        <f>'Staffing &amp; FTE'!R76+('Operating costs (fixed)'!B15-'Operating costs (fixed)'!B7)*(1+'Operating costs (fixed)'!B13)^(INT((A60-1)/12))+'Operating costs (fixed)'!B7*MIN(1,(A60-1)/12/'Operating costs (fixed)'!B8)+MAX(0,E60-E59)*'Operating costs (fixed)'!B11</f>
        <v>374534.51027917478</v>
      </c>
      <c r="J60" s="14">
        <f t="shared" si="4"/>
        <v>572752.09676770028</v>
      </c>
      <c r="K60" s="14">
        <f>K59+J60+IF(A60='Financing &amp; returns'!B13,'Financing &amp; returns'!B12,0)</f>
        <v>5035082.8126483718</v>
      </c>
      <c r="L60" s="55">
        <f>MIN('Throughput → collections'!B6,'Throughput → collections'!B5+('Throughput → collections'!B6-'Throughput → collections'!B5)*MIN(MAX(0,(A60-('Growth &amp; timing'!B5+1))/12),'Throughput → collections'!B7)/'Throughput → collections'!B7)</f>
        <v>28</v>
      </c>
      <c r="M60" s="14">
        <f>L60*'Throughput → collections'!B8*'Throughput → collections'!B9</f>
        <v>1071000</v>
      </c>
      <c r="N60" s="14">
        <f>(Pricing!B7*Pricing!B5+(1-Pricing!B7)*Pricing!B6)+(M60*'Throughput → collections'!B10*Pricing!B8*Pricing!B9)/12</f>
        <v>4897.8767500000004</v>
      </c>
    </row>
    <row r="61" spans="1:14" x14ac:dyDescent="0.25">
      <c r="A61" s="135">
        <v>56</v>
      </c>
      <c r="B61" s="54" t="str">
        <f>IF(A61&lt;='Growth &amp; timing'!B5,"Dev",IF(A61&lt;='Growth &amp; timing'!B5+'Growth &amp; timing'!B9,"Testing","Explosion"))</f>
        <v>Explosion</v>
      </c>
      <c r="C61" s="52">
        <f t="shared" si="5"/>
        <v>7.5885747933860159</v>
      </c>
      <c r="D61" s="52">
        <f>IF(A61&lt;='Growth &amp; timing'!B5,0,IF(A61='Growth &amp; timing'!B5+1,'Growth &amp; timing'!B8,IF(A61&lt;='Growth &amp; timing'!B5+'Growth &amp; timing'!B9,D60*((1-'Growth &amp; timing'!B12)^(1/12))+'Growth &amp; timing'!B10,D60*(1+'Growth &amp; timing'!B11)^(1/12))))</f>
        <v>108.35482199603454</v>
      </c>
      <c r="E61" s="52">
        <f>ROUND(D61*'Growth &amp; timing'!B6,0)</f>
        <v>271</v>
      </c>
      <c r="F61" s="14">
        <f>E61*N61*IF(AND(A61&gt;='Growth &amp; timing'!B5+1,A61&lt;='Growth &amp; timing'!B5+12),'Growth &amp; timing'!B7,1)</f>
        <v>1327324.5992500002</v>
      </c>
      <c r="G61" s="14">
        <f t="shared" si="3"/>
        <v>15927895.191000003</v>
      </c>
      <c r="H61" s="14">
        <f>E61*(L61*'Throughput → collections'!B8/12)*('AI-Scribe &amp; Azure'!B31+'Cost-to-serve (per encounter-cl'!B7)+E61*(L61*'Throughput → collections'!B8/12)*'Cost-to-serve (per encounter-cl'!B6*'Cost-to-serve (per encounter-cl'!B5+E61*'Cost-to-serve (per encounter-cl'!B9/12+'Cost-to-serve (per encounter-cl'!B10/12+'Staffing &amp; FTE'!Q77</f>
        <v>301625.50992578128</v>
      </c>
      <c r="I61" s="14">
        <f>'Staffing &amp; FTE'!R77+('Operating costs (fixed)'!B15-'Operating costs (fixed)'!B7)*(1+'Operating costs (fixed)'!B13)^(INT((A61-1)/12))+'Operating costs (fixed)'!B7*MIN(1,(A61-1)/12/'Operating costs (fixed)'!B8)+MAX(0,E61-E60)*'Operating costs (fixed)'!B11</f>
        <v>374534.51027917478</v>
      </c>
      <c r="J61" s="14">
        <f t="shared" si="4"/>
        <v>651164.57904504414</v>
      </c>
      <c r="K61" s="14">
        <f>K60+J61+IF(A61='Financing &amp; returns'!B13,'Financing &amp; returns'!B12,0)</f>
        <v>5686247.3916934161</v>
      </c>
      <c r="L61" s="55">
        <f>MIN('Throughput → collections'!B6,'Throughput → collections'!B5+('Throughput → collections'!B6-'Throughput → collections'!B5)*MIN(MAX(0,(A61-('Growth &amp; timing'!B5+1))/12),'Throughput → collections'!B7)/'Throughput → collections'!B7)</f>
        <v>28</v>
      </c>
      <c r="M61" s="14">
        <f>L61*'Throughput → collections'!B8*'Throughput → collections'!B9</f>
        <v>1071000</v>
      </c>
      <c r="N61" s="14">
        <f>(Pricing!B7*Pricing!B5+(1-Pricing!B7)*Pricing!B6)+(M61*'Throughput → collections'!B10*Pricing!B8*Pricing!B9)/12</f>
        <v>4897.8767500000004</v>
      </c>
    </row>
    <row r="62" spans="1:14" x14ac:dyDescent="0.25">
      <c r="A62" s="135">
        <v>57</v>
      </c>
      <c r="B62" s="54" t="str">
        <f>IF(A62&lt;='Growth &amp; timing'!B5,"Dev",IF(A62&lt;='Growth &amp; timing'!B5+'Growth &amp; timing'!B9,"Testing","Explosion"))</f>
        <v>Explosion</v>
      </c>
      <c r="C62" s="52">
        <f t="shared" si="5"/>
        <v>8.1600604742906881</v>
      </c>
      <c r="D62" s="52">
        <f>IF(A62&lt;='Growth &amp; timing'!B5,0,IF(A62='Growth &amp; timing'!B5+1,'Growth &amp; timing'!B8,IF(A62&lt;='Growth &amp; timing'!B5+'Growth &amp; timing'!B9,D61*((1-'Growth &amp; timing'!B12)^(1/12))+'Growth &amp; timing'!B10,D61*(1+'Growth &amp; timing'!B11)^(1/12))))</f>
        <v>116.51488247032523</v>
      </c>
      <c r="E62" s="52">
        <f>ROUND(D62*'Growth &amp; timing'!B6,0)</f>
        <v>291</v>
      </c>
      <c r="F62" s="14">
        <f>E62*N62*IF(AND(A62&gt;='Growth &amp; timing'!B5+1,A62&lt;='Growth &amp; timing'!B5+12),'Growth &amp; timing'!B7,1)</f>
        <v>1425282.1342500001</v>
      </c>
      <c r="G62" s="14">
        <f t="shared" si="3"/>
        <v>17103385.611000001</v>
      </c>
      <c r="H62" s="14">
        <f>E62*(L62*'Throughput → collections'!B8/12)*('AI-Scribe &amp; Azure'!B31+'Cost-to-serve (per encounter-cl'!B7)+E62*(L62*'Throughput → collections'!B8/12)*'Cost-to-serve (per encounter-cl'!B6*'Cost-to-serve (per encounter-cl'!B5+E62*'Cost-to-serve (per encounter-cl'!B9/12+'Cost-to-serve (per encounter-cl'!B10/12+'Staffing &amp; FTE'!Q78</f>
        <v>328352.36182682292</v>
      </c>
      <c r="I62" s="14">
        <f>'Staffing &amp; FTE'!R78+('Operating costs (fixed)'!B15-'Operating costs (fixed)'!B7)*(1+'Operating costs (fixed)'!B13)^(INT((A62-1)/12))+'Operating costs (fixed)'!B7*MIN(1,(A62-1)/12/'Operating costs (fixed)'!B8)+MAX(0,E62-E61)*'Operating costs (fixed)'!B11</f>
        <v>381534.51027917478</v>
      </c>
      <c r="J62" s="14">
        <f t="shared" si="4"/>
        <v>715395.26214400248</v>
      </c>
      <c r="K62" s="14">
        <f>K61+J62+IF(A62='Financing &amp; returns'!B13,'Financing &amp; returns'!B12,0)</f>
        <v>6401642.6538374182</v>
      </c>
      <c r="L62" s="55">
        <f>MIN('Throughput → collections'!B6,'Throughput → collections'!B5+('Throughput → collections'!B6-'Throughput → collections'!B5)*MIN(MAX(0,(A62-('Growth &amp; timing'!B5+1))/12),'Throughput → collections'!B7)/'Throughput → collections'!B7)</f>
        <v>28</v>
      </c>
      <c r="M62" s="14">
        <f>L62*'Throughput → collections'!B8*'Throughput → collections'!B9</f>
        <v>1071000</v>
      </c>
      <c r="N62" s="14">
        <f>(Pricing!B7*Pricing!B5+(1-Pricing!B7)*Pricing!B6)+(M62*'Throughput → collections'!B10*Pricing!B8*Pricing!B9)/12</f>
        <v>4897.8767500000004</v>
      </c>
    </row>
    <row r="63" spans="1:14" x14ac:dyDescent="0.25">
      <c r="A63" s="135">
        <v>58</v>
      </c>
      <c r="B63" s="54" t="str">
        <f>IF(A63&lt;='Growth &amp; timing'!B5,"Dev",IF(A63&lt;='Growth &amp; timing'!B5+'Growth &amp; timing'!B9,"Testing","Explosion"))</f>
        <v>Explosion</v>
      </c>
      <c r="C63" s="52">
        <f t="shared" si="5"/>
        <v>8.7745839972633632</v>
      </c>
      <c r="D63" s="52">
        <f>IF(A63&lt;='Growth &amp; timing'!B5,0,IF(A63='Growth &amp; timing'!B5+1,'Growth &amp; timing'!B8,IF(A63&lt;='Growth &amp; timing'!B5+'Growth &amp; timing'!B9,D62*((1-'Growth &amp; timing'!B12)^(1/12))+'Growth &amp; timing'!B10,D62*(1+'Growth &amp; timing'!B11)^(1/12))))</f>
        <v>125.2894664675886</v>
      </c>
      <c r="E63" s="52">
        <f>ROUND(D63*'Growth &amp; timing'!B6,0)</f>
        <v>313</v>
      </c>
      <c r="F63" s="14">
        <f>E63*N63*IF(AND(A63&gt;='Growth &amp; timing'!B5+1,A63&lt;='Growth &amp; timing'!B5+12),'Growth &amp; timing'!B7,1)</f>
        <v>1533035.4227500001</v>
      </c>
      <c r="G63" s="14">
        <f t="shared" si="3"/>
        <v>18396425.073000003</v>
      </c>
      <c r="H63" s="14">
        <f>E63*(L63*'Throughput → collections'!B8/12)*('AI-Scribe &amp; Azure'!B31+'Cost-to-serve (per encounter-cl'!B7)+E63*(L63*'Throughput → collections'!B8/12)*'Cost-to-serve (per encounter-cl'!B6*'Cost-to-serve (per encounter-cl'!B5+E63*'Cost-to-serve (per encounter-cl'!B9/12+'Cost-to-serve (per encounter-cl'!B10/12+'Staffing &amp; FTE'!Q79</f>
        <v>367738.56558463542</v>
      </c>
      <c r="I63" s="14">
        <f>'Staffing &amp; FTE'!R79+('Operating costs (fixed)'!B15-'Operating costs (fixed)'!B7)*(1+'Operating costs (fixed)'!B13)^(INT((A63-1)/12))+'Operating costs (fixed)'!B7*MIN(1,(A63-1)/12/'Operating costs (fixed)'!B8)+MAX(0,E63-E62)*'Operating costs (fixed)'!B11</f>
        <v>383867.84361250809</v>
      </c>
      <c r="J63" s="14">
        <f t="shared" si="4"/>
        <v>781429.01355285663</v>
      </c>
      <c r="K63" s="14">
        <f>K62+J63+IF(A63='Financing &amp; returns'!B13,'Financing &amp; returns'!B12,0)</f>
        <v>7183071.6673902748</v>
      </c>
      <c r="L63" s="55">
        <f>MIN('Throughput → collections'!B6,'Throughput → collections'!B5+('Throughput → collections'!B6-'Throughput → collections'!B5)*MIN(MAX(0,(A63-('Growth &amp; timing'!B5+1))/12),'Throughput → collections'!B7)/'Throughput → collections'!B7)</f>
        <v>28</v>
      </c>
      <c r="M63" s="14">
        <f>L63*'Throughput → collections'!B8*'Throughput → collections'!B9</f>
        <v>1071000</v>
      </c>
      <c r="N63" s="14">
        <f>(Pricing!B7*Pricing!B5+(1-Pricing!B7)*Pricing!B6)+(M63*'Throughput → collections'!B10*Pricing!B8*Pricing!B9)/12</f>
        <v>4897.8767500000004</v>
      </c>
    </row>
    <row r="64" spans="1:14" x14ac:dyDescent="0.25">
      <c r="A64" s="135">
        <v>59</v>
      </c>
      <c r="B64" s="54" t="str">
        <f>IF(A64&lt;='Growth &amp; timing'!B5,"Dev",IF(A64&lt;='Growth &amp; timing'!B5+'Growth &amp; timing'!B9,"Testing","Explosion"))</f>
        <v>Explosion</v>
      </c>
      <c r="C64" s="52">
        <f t="shared" si="5"/>
        <v>9.4353864861182899</v>
      </c>
      <c r="D64" s="52">
        <f>IF(A64&lt;='Growth &amp; timing'!B5,0,IF(A64='Growth &amp; timing'!B5+1,'Growth &amp; timing'!B8,IF(A64&lt;='Growth &amp; timing'!B5+'Growth &amp; timing'!B9,D63*((1-'Growth &amp; timing'!B12)^(1/12))+'Growth &amp; timing'!B10,D63*(1+'Growth &amp; timing'!B11)^(1/12))))</f>
        <v>134.72485295370689</v>
      </c>
      <c r="E64" s="52">
        <f>ROUND(D64*'Growth &amp; timing'!B6,0)</f>
        <v>337</v>
      </c>
      <c r="F64" s="14">
        <f>E64*N64*IF(AND(A64&gt;='Growth &amp; timing'!B5+1,A64&lt;='Growth &amp; timing'!B5+12),'Growth &amp; timing'!B7,1)</f>
        <v>1650584.46475</v>
      </c>
      <c r="G64" s="14">
        <f t="shared" si="3"/>
        <v>19807013.577</v>
      </c>
      <c r="H64" s="14">
        <f>E64*(L64*'Throughput → collections'!B8/12)*('AI-Scribe &amp; Azure'!B31+'Cost-to-serve (per encounter-cl'!B7)+E64*(L64*'Throughput → collections'!B8/12)*'Cost-to-serve (per encounter-cl'!B6*'Cost-to-serve (per encounter-cl'!B5+E64*'Cost-to-serve (per encounter-cl'!B9/12+'Cost-to-serve (per encounter-cl'!B10/12+'Staffing &amp; FTE'!Q80</f>
        <v>377650.78786588542</v>
      </c>
      <c r="I64" s="14">
        <f>'Staffing &amp; FTE'!R80+('Operating costs (fixed)'!B15-'Operating costs (fixed)'!B7)*(1+'Operating costs (fixed)'!B13)^(INT((A64-1)/12))+'Operating costs (fixed)'!B7*MIN(1,(A64-1)/12/'Operating costs (fixed)'!B8)+MAX(0,E64-E63)*'Operating costs (fixed)'!B11</f>
        <v>397867.84361250809</v>
      </c>
      <c r="J64" s="14">
        <f t="shared" si="4"/>
        <v>875065.83327160659</v>
      </c>
      <c r="K64" s="14">
        <f>K63+J64+IF(A64='Financing &amp; returns'!B13,'Financing &amp; returns'!B12,0)</f>
        <v>8058137.5006618816</v>
      </c>
      <c r="L64" s="55">
        <f>MIN('Throughput → collections'!B6,'Throughput → collections'!B5+('Throughput → collections'!B6-'Throughput → collections'!B5)*MIN(MAX(0,(A64-('Growth &amp; timing'!B5+1))/12),'Throughput → collections'!B7)/'Throughput → collections'!B7)</f>
        <v>28</v>
      </c>
      <c r="M64" s="14">
        <f>L64*'Throughput → collections'!B8*'Throughput → collections'!B9</f>
        <v>1071000</v>
      </c>
      <c r="N64" s="14">
        <f>(Pricing!B7*Pricing!B5+(1-Pricing!B7)*Pricing!B6)+(M64*'Throughput → collections'!B10*Pricing!B8*Pricing!B9)/12</f>
        <v>4897.8767500000004</v>
      </c>
    </row>
    <row r="65" spans="1:14" x14ac:dyDescent="0.25">
      <c r="A65" s="135">
        <v>60</v>
      </c>
      <c r="B65" s="54" t="str">
        <f>IF(A65&lt;='Growth &amp; timing'!B5,"Dev",IF(A65&lt;='Growth &amp; timing'!B5+'Growth &amp; timing'!B9,"Testing","Explosion"))</f>
        <v>Explosion</v>
      </c>
      <c r="C65" s="52">
        <f t="shared" si="5"/>
        <v>10.145953149481443</v>
      </c>
      <c r="D65" s="52">
        <f>IF(A65&lt;='Growth &amp; timing'!B5,0,IF(A65='Growth &amp; timing'!B5+1,'Growth &amp; timing'!B8,IF(A65&lt;='Growth &amp; timing'!B5+'Growth &amp; timing'!B9,D64*((1-'Growth &amp; timing'!B12)^(1/12))+'Growth &amp; timing'!B10,D64*(1+'Growth &amp; timing'!B11)^(1/12))))</f>
        <v>144.87080610318833</v>
      </c>
      <c r="E65" s="52">
        <f>ROUND(D65*'Growth &amp; timing'!B6,0)</f>
        <v>362</v>
      </c>
      <c r="F65" s="14">
        <f>E65*N65*IF(AND(A65&gt;='Growth &amp; timing'!B5+1,A65&lt;='Growth &amp; timing'!B5+12),'Growth &amp; timing'!B7,1)</f>
        <v>1773031.3835000002</v>
      </c>
      <c r="G65" s="14">
        <f t="shared" si="3"/>
        <v>21276376.602000002</v>
      </c>
      <c r="H65" s="14">
        <f>E65*(L65*'Throughput → collections'!B8/12)*('AI-Scribe &amp; Azure'!B31+'Cost-to-serve (per encounter-cl'!B7)+E65*(L65*'Throughput → collections'!B8/12)*'Cost-to-serve (per encounter-cl'!B6*'Cost-to-serve (per encounter-cl'!B5+E65*'Cost-to-serve (per encounter-cl'!B9/12+'Cost-to-serve (per encounter-cl'!B10/12+'Staffing &amp; FTE'!Q81</f>
        <v>407576.01940885419</v>
      </c>
      <c r="I65" s="14">
        <f>'Staffing &amp; FTE'!R81+('Operating costs (fixed)'!B15-'Operating costs (fixed)'!B7)*(1+'Operating costs (fixed)'!B13)^(INT((A65-1)/12))+'Operating costs (fixed)'!B7*MIN(1,(A65-1)/12/'Operating costs (fixed)'!B8)+MAX(0,E65-E64)*'Operating costs (fixed)'!B11</f>
        <v>415867.84361250809</v>
      </c>
      <c r="J65" s="14">
        <f t="shared" si="4"/>
        <v>949587.52047863789</v>
      </c>
      <c r="K65" s="14">
        <f>K64+J65+IF(A65='Financing &amp; returns'!B13,'Financing &amp; returns'!B12,0)</f>
        <v>9007725.0211405195</v>
      </c>
      <c r="L65" s="55">
        <f>MIN('Throughput → collections'!B6,'Throughput → collections'!B5+('Throughput → collections'!B6-'Throughput → collections'!B5)*MIN(MAX(0,(A65-('Growth &amp; timing'!B5+1))/12),'Throughput → collections'!B7)/'Throughput → collections'!B7)</f>
        <v>28</v>
      </c>
      <c r="M65" s="14">
        <f>L65*'Throughput → collections'!B8*'Throughput → collections'!B9</f>
        <v>1071000</v>
      </c>
      <c r="N65" s="14">
        <f>(Pricing!B7*Pricing!B5+(1-Pricing!B7)*Pricing!B6)+(M65*'Throughput → collections'!B10*Pricing!B8*Pricing!B9)/12</f>
        <v>4897.8767500000004</v>
      </c>
    </row>
    <row r="66" spans="1:14" x14ac:dyDescent="0.25">
      <c r="A66" s="135">
        <v>61</v>
      </c>
      <c r="B66" s="54" t="str">
        <f>IF(A66&lt;='Growth &amp; timing'!B5,"Dev",IF(A66&lt;='Growth &amp; timing'!B5+'Growth &amp; timing'!B9,"Testing","Explosion"))</f>
        <v>Explosion</v>
      </c>
      <c r="C66" s="52">
        <f t="shared" si="5"/>
        <v>10.910031662499705</v>
      </c>
      <c r="D66" s="52">
        <f>IF(A66&lt;='Growth &amp; timing'!B5,0,IF(A66='Growth &amp; timing'!B5+1,'Growth &amp; timing'!B8,IF(A66&lt;='Growth &amp; timing'!B5+'Growth &amp; timing'!B9,D65*((1-'Growth &amp; timing'!B12)^(1/12))+'Growth &amp; timing'!B10,D65*(1+'Growth &amp; timing'!B11)^(1/12))))</f>
        <v>155.78083776568803</v>
      </c>
      <c r="E66" s="52">
        <f>ROUND(D66*'Growth &amp; timing'!B6,0)</f>
        <v>389</v>
      </c>
      <c r="F66" s="14">
        <f>E66*N66*IF(AND(A66&gt;='Growth &amp; timing'!B5+1,A66&lt;='Growth &amp; timing'!B5+12),'Growth &amp; timing'!B7,1)</f>
        <v>1905274.0557500001</v>
      </c>
      <c r="G66" s="14">
        <f t="shared" si="3"/>
        <v>22863288.669</v>
      </c>
      <c r="H66" s="14">
        <f>E66*(L66*'Throughput → collections'!B8/12)*('AI-Scribe &amp; Azure'!B31+'Cost-to-serve (per encounter-cl'!B7)+E66*(L66*'Throughput → collections'!B8/12)*'Cost-to-serve (per encounter-cl'!B6*'Cost-to-serve (per encounter-cl'!B5+E66*'Cost-to-serve (per encounter-cl'!B9/12+'Cost-to-serve (per encounter-cl'!B10/12+'Staffing &amp; FTE'!Q82</f>
        <v>425527.2694752604</v>
      </c>
      <c r="I66" s="14">
        <f>'Staffing &amp; FTE'!R82+('Operating costs (fixed)'!B15-'Operating costs (fixed)'!B7)*(1+'Operating costs (fixed)'!B13)^(INT((A66-1)/12))+'Operating costs (fixed)'!B7*MIN(1,(A66-1)/12/'Operating costs (fixed)'!B8)+MAX(0,E66-E65)*'Operating costs (fixed)'!B11</f>
        <v>460142.6662264656</v>
      </c>
      <c r="J66" s="14">
        <f t="shared" si="4"/>
        <v>1019604.1200482739</v>
      </c>
      <c r="K66" s="14">
        <f>K65+J66+IF(A66='Financing &amp; returns'!B13,'Financing &amp; returns'!B12,0)</f>
        <v>10027329.141188793</v>
      </c>
      <c r="L66" s="55">
        <f>MIN('Throughput → collections'!B6,'Throughput → collections'!B5+('Throughput → collections'!B6-'Throughput → collections'!B5)*MIN(MAX(0,(A66-('Growth &amp; timing'!B5+1))/12),'Throughput → collections'!B7)/'Throughput → collections'!B7)</f>
        <v>28</v>
      </c>
      <c r="M66" s="14">
        <f>L66*'Throughput → collections'!B8*'Throughput → collections'!B9</f>
        <v>1071000</v>
      </c>
      <c r="N66" s="14">
        <f>(Pricing!B7*Pricing!B5+(1-Pricing!B7)*Pricing!B6)+(M66*'Throughput → collections'!B10*Pricing!B8*Pricing!B9)/12</f>
        <v>4897.8767500000004</v>
      </c>
    </row>
    <row r="67" spans="1:14" x14ac:dyDescent="0.25">
      <c r="A67" s="135">
        <v>62</v>
      </c>
      <c r="B67" s="54" t="str">
        <f>IF(A67&lt;='Growth &amp; timing'!B5,"Dev",IF(A67&lt;='Growth &amp; timing'!B5+'Growth &amp; timing'!B9,"Testing","Explosion"))</f>
        <v>Explosion</v>
      </c>
      <c r="C67" s="52">
        <f t="shared" si="5"/>
        <v>11.731651932852628</v>
      </c>
      <c r="D67" s="52">
        <f>IF(A67&lt;='Growth &amp; timing'!B5,0,IF(A67='Growth &amp; timing'!B5+1,'Growth &amp; timing'!B8,IF(A67&lt;='Growth &amp; timing'!B5+'Growth &amp; timing'!B9,D66*((1-'Growth &amp; timing'!B12)^(1/12))+'Growth &amp; timing'!B10,D66*(1+'Growth &amp; timing'!B11)^(1/12))))</f>
        <v>167.51248969854066</v>
      </c>
      <c r="E67" s="52">
        <f>ROUND(D67*'Growth &amp; timing'!B6,0)</f>
        <v>419</v>
      </c>
      <c r="F67" s="14">
        <f>E67*N67*IF(AND(A67&gt;='Growth &amp; timing'!B5+1,A67&lt;='Growth &amp; timing'!B5+12),'Growth &amp; timing'!B7,1)</f>
        <v>2052210.35825</v>
      </c>
      <c r="G67" s="14">
        <f t="shared" si="3"/>
        <v>24626524.299000002</v>
      </c>
      <c r="H67" s="14">
        <f>E67*(L67*'Throughput → collections'!B8/12)*('AI-Scribe &amp; Azure'!B31+'Cost-to-serve (per encounter-cl'!B7)+E67*(L67*'Throughput → collections'!B8/12)*'Cost-to-serve (per encounter-cl'!B6*'Cost-to-serve (per encounter-cl'!B5+E67*'Cost-to-serve (per encounter-cl'!B9/12+'Cost-to-serve (per encounter-cl'!B10/12+'Staffing &amp; FTE'!Q83</f>
        <v>454217.54732682288</v>
      </c>
      <c r="I67" s="14">
        <f>'Staffing &amp; FTE'!R83+('Operating costs (fixed)'!B15-'Operating costs (fixed)'!B7)*(1+'Operating costs (fixed)'!B13)^(INT((A67-1)/12))+'Operating costs (fixed)'!B7*MIN(1,(A67-1)/12/'Operating costs (fixed)'!B8)+MAX(0,E67-E66)*'Operating costs (fixed)'!B11</f>
        <v>460142.6662264656</v>
      </c>
      <c r="J67" s="14">
        <f t="shared" si="4"/>
        <v>1137850.1446967116</v>
      </c>
      <c r="K67" s="14">
        <f>K66+J67+IF(A67='Financing &amp; returns'!B13,'Financing &amp; returns'!B12,0)</f>
        <v>11165179.285885505</v>
      </c>
      <c r="L67" s="55">
        <f>MIN('Throughput → collections'!B6,'Throughput → collections'!B5+('Throughput → collections'!B6-'Throughput → collections'!B5)*MIN(MAX(0,(A67-('Growth &amp; timing'!B5+1))/12),'Throughput → collections'!B7)/'Throughput → collections'!B7)</f>
        <v>28</v>
      </c>
      <c r="M67" s="14">
        <f>L67*'Throughput → collections'!B8*'Throughput → collections'!B9</f>
        <v>1071000</v>
      </c>
      <c r="N67" s="14">
        <f>(Pricing!B7*Pricing!B5+(1-Pricing!B7)*Pricing!B6)+(M67*'Throughput → collections'!B10*Pricing!B8*Pricing!B9)/12</f>
        <v>4897.8767500000004</v>
      </c>
    </row>
    <row r="68" spans="1:14" x14ac:dyDescent="0.25">
      <c r="A68" s="135">
        <v>63</v>
      </c>
      <c r="B68" s="54" t="str">
        <f>IF(A68&lt;='Growth &amp; timing'!B5,"Dev",IF(A68&lt;='Growth &amp; timing'!B5+'Growth &amp; timing'!B9,"Testing","Explosion"))</f>
        <v>Explosion</v>
      </c>
      <c r="C68" s="52">
        <f t="shared" si="5"/>
        <v>12.615147355316708</v>
      </c>
      <c r="D68" s="52">
        <f>IF(A68&lt;='Growth &amp; timing'!B5,0,IF(A68='Growth &amp; timing'!B5+1,'Growth &amp; timing'!B8,IF(A68&lt;='Growth &amp; timing'!B5+'Growth &amp; timing'!B9,D67*((1-'Growth &amp; timing'!B12)^(1/12))+'Growth &amp; timing'!B10,D67*(1+'Growth &amp; timing'!B11)^(1/12))))</f>
        <v>180.12763705385737</v>
      </c>
      <c r="E68" s="52">
        <f>ROUND(D68*'Growth &amp; timing'!B6,0)</f>
        <v>450</v>
      </c>
      <c r="F68" s="14">
        <f>E68*N68*IF(AND(A68&gt;='Growth &amp; timing'!B5+1,A68&lt;='Growth &amp; timing'!B5+12),'Growth &amp; timing'!B7,1)</f>
        <v>2204044.5375000001</v>
      </c>
      <c r="G68" s="14">
        <f t="shared" si="3"/>
        <v>26448534.450000003</v>
      </c>
      <c r="H68" s="14">
        <f>E68*(L68*'Throughput → collections'!B8/12)*('AI-Scribe &amp; Azure'!B31+'Cost-to-serve (per encounter-cl'!B7)+E68*(L68*'Throughput → collections'!B8/12)*'Cost-to-serve (per encounter-cl'!B6*'Cost-to-serve (per encounter-cl'!B5+E68*'Cost-to-serve (per encounter-cl'!B9/12+'Cost-to-serve (per encounter-cl'!B10/12+'Staffing &amp; FTE'!Q84</f>
        <v>486620.83444010414</v>
      </c>
      <c r="I68" s="14">
        <f>'Staffing &amp; FTE'!R84+('Operating costs (fixed)'!B15-'Operating costs (fixed)'!B7)*(1+'Operating costs (fixed)'!B13)^(INT((A68-1)/12))+'Operating costs (fixed)'!B7*MIN(1,(A68-1)/12/'Operating costs (fixed)'!B8)+MAX(0,E68-E67)*'Operating costs (fixed)'!B11</f>
        <v>481142.6662264656</v>
      </c>
      <c r="J68" s="14">
        <f t="shared" si="4"/>
        <v>1236281.0368334302</v>
      </c>
      <c r="K68" s="14">
        <f>K67+J68+IF(A68='Financing &amp; returns'!B13,'Financing &amp; returns'!B12,0)</f>
        <v>12401460.322718935</v>
      </c>
      <c r="L68" s="55">
        <f>MIN('Throughput → collections'!B6,'Throughput → collections'!B5+('Throughput → collections'!B6-'Throughput → collections'!B5)*MIN(MAX(0,(A68-('Growth &amp; timing'!B5+1))/12),'Throughput → collections'!B7)/'Throughput → collections'!B7)</f>
        <v>28</v>
      </c>
      <c r="M68" s="14">
        <f>L68*'Throughput → collections'!B8*'Throughput → collections'!B9</f>
        <v>1071000</v>
      </c>
      <c r="N68" s="14">
        <f>(Pricing!B7*Pricing!B5+(1-Pricing!B7)*Pricing!B6)+(M68*'Throughput → collections'!B10*Pricing!B8*Pricing!B9)/12</f>
        <v>4897.8767500000004</v>
      </c>
    </row>
    <row r="69" spans="1:14" x14ac:dyDescent="0.25">
      <c r="A69" s="135">
        <v>64</v>
      </c>
      <c r="B69" s="54" t="str">
        <f>IF(A69&lt;='Growth &amp; timing'!B5,"Dev",IF(A69&lt;='Growth &amp; timing'!B5+'Growth &amp; timing'!B9,"Testing","Explosion"))</f>
        <v>Explosion</v>
      </c>
      <c r="C69" s="52">
        <f t="shared" si="5"/>
        <v>13.565177666983317</v>
      </c>
      <c r="D69" s="52">
        <f>IF(A69&lt;='Growth &amp; timing'!B5,0,IF(A69='Growth &amp; timing'!B5+1,'Growth &amp; timing'!B8,IF(A69&lt;='Growth &amp; timing'!B5+'Growth &amp; timing'!B9,D68*((1-'Growth &amp; timing'!B12)^(1/12))+'Growth &amp; timing'!B10,D68*(1+'Growth &amp; timing'!B11)^(1/12))))</f>
        <v>193.69281472084069</v>
      </c>
      <c r="E69" s="52">
        <f>ROUND(D69*'Growth &amp; timing'!B6,0)</f>
        <v>484</v>
      </c>
      <c r="F69" s="14">
        <f>E69*N69*IF(AND(A69&gt;='Growth &amp; timing'!B5+1,A69&lt;='Growth &amp; timing'!B5+12),'Growth &amp; timing'!B7,1)</f>
        <v>2370572.3470000001</v>
      </c>
      <c r="G69" s="14">
        <f t="shared" si="3"/>
        <v>28446868.164000001</v>
      </c>
      <c r="H69" s="14">
        <f>E69*(L69*'Throughput → collections'!B8/12)*('AI-Scribe &amp; Azure'!B31+'Cost-to-serve (per encounter-cl'!B7)+E69*(L69*'Throughput → collections'!B8/12)*'Cost-to-serve (per encounter-cl'!B6*'Cost-to-serve (per encounter-cl'!B5+E69*'Cost-to-serve (per encounter-cl'!B9/12+'Cost-to-serve (per encounter-cl'!B10/12+'Staffing &amp; FTE'!Q85</f>
        <v>530963.14933854167</v>
      </c>
      <c r="I69" s="14">
        <f>'Staffing &amp; FTE'!R85+('Operating costs (fixed)'!B15-'Operating costs (fixed)'!B7)*(1+'Operating costs (fixed)'!B13)^(INT((A69-1)/12))+'Operating costs (fixed)'!B7*MIN(1,(A69-1)/12/'Operating costs (fixed)'!B8)+MAX(0,E69-E68)*'Operating costs (fixed)'!B11</f>
        <v>481142.6662264656</v>
      </c>
      <c r="J69" s="14">
        <f t="shared" si="4"/>
        <v>1358466.5314349928</v>
      </c>
      <c r="K69" s="14">
        <f>K68+J69+IF(A69='Financing &amp; returns'!B13,'Financing &amp; returns'!B12,0)</f>
        <v>13759926.854153927</v>
      </c>
      <c r="L69" s="55">
        <f>MIN('Throughput → collections'!B6,'Throughput → collections'!B5+('Throughput → collections'!B6-'Throughput → collections'!B5)*MIN(MAX(0,(A69-('Growth &amp; timing'!B5+1))/12),'Throughput → collections'!B7)/'Throughput → collections'!B7)</f>
        <v>28</v>
      </c>
      <c r="M69" s="14">
        <f>L69*'Throughput → collections'!B8*'Throughput → collections'!B9</f>
        <v>1071000</v>
      </c>
      <c r="N69" s="14">
        <f>(Pricing!B7*Pricing!B5+(1-Pricing!B7)*Pricing!B6)+(M69*'Throughput → collections'!B10*Pricing!B8*Pricing!B9)/12</f>
        <v>4897.8767500000004</v>
      </c>
    </row>
    <row r="70" spans="1:14" x14ac:dyDescent="0.25">
      <c r="A70" s="135">
        <v>65</v>
      </c>
      <c r="B70" s="54" t="str">
        <f>IF(A70&lt;='Growth &amp; timing'!B5,"Dev",IF(A70&lt;='Growth &amp; timing'!B5+'Growth &amp; timing'!B9,"Testing","Explosion"))</f>
        <v>Explosion</v>
      </c>
      <c r="C70" s="52">
        <f t="shared" si="5"/>
        <v>14.586753523673224</v>
      </c>
      <c r="D70" s="52">
        <f>IF(A70&lt;='Growth &amp; timing'!B5,0,IF(A70='Growth &amp; timing'!B5+1,'Growth &amp; timing'!B8,IF(A70&lt;='Growth &amp; timing'!B5+'Growth &amp; timing'!B9,D69*((1-'Growth &amp; timing'!B12)^(1/12))+'Growth &amp; timing'!B10,D69*(1+'Growth &amp; timing'!B11)^(1/12))))</f>
        <v>208.27956824451391</v>
      </c>
      <c r="E70" s="52">
        <f>ROUND(D70*'Growth &amp; timing'!B6,0)</f>
        <v>521</v>
      </c>
      <c r="F70" s="14">
        <f>E70*N70*IF(AND(A70&gt;='Growth &amp; timing'!B5+1,A70&lt;='Growth &amp; timing'!B5+12),'Growth &amp; timing'!B7,1)</f>
        <v>2551793.78675</v>
      </c>
      <c r="G70" s="14">
        <f t="shared" ref="G70:G77" si="6">E70*N70*12</f>
        <v>30621525.441</v>
      </c>
      <c r="H70" s="14">
        <f>E70*(L70*'Throughput → collections'!B8/12)*('AI-Scribe &amp; Azure'!B31+'Cost-to-serve (per encounter-cl'!B7)+E70*(L70*'Throughput → collections'!B8/12)*'Cost-to-serve (per encounter-cl'!B6*'Cost-to-serve (per encounter-cl'!B5+E70*'Cost-to-serve (per encounter-cl'!B9/12+'Cost-to-serve (per encounter-cl'!B10/12+'Staffing &amp; FTE'!Q86</f>
        <v>559844.49202213541</v>
      </c>
      <c r="I70" s="14">
        <f>'Staffing &amp; FTE'!R86+('Operating costs (fixed)'!B15-'Operating costs (fixed)'!B7)*(1+'Operating costs (fixed)'!B13)^(INT((A70-1)/12))+'Operating costs (fixed)'!B7*MIN(1,(A70-1)/12/'Operating costs (fixed)'!B8)+MAX(0,E70-E69)*'Operating costs (fixed)'!B11</f>
        <v>481142.6662264656</v>
      </c>
      <c r="J70" s="14">
        <f t="shared" ref="J70:J101" si="7">F70-H70-I70</f>
        <v>1510806.628501399</v>
      </c>
      <c r="K70" s="14">
        <f>K69+J70+IF(A70='Financing &amp; returns'!B13,'Financing &amp; returns'!B12,0)</f>
        <v>15270733.482655326</v>
      </c>
      <c r="L70" s="55">
        <f>MIN('Throughput → collections'!B6,'Throughput → collections'!B5+('Throughput → collections'!B6-'Throughput → collections'!B5)*MIN(MAX(0,(A70-('Growth &amp; timing'!B5+1))/12),'Throughput → collections'!B7)/'Throughput → collections'!B7)</f>
        <v>28</v>
      </c>
      <c r="M70" s="14">
        <f>L70*'Throughput → collections'!B8*'Throughput → collections'!B9</f>
        <v>1071000</v>
      </c>
      <c r="N70" s="14">
        <f>(Pricing!B7*Pricing!B5+(1-Pricing!B7)*Pricing!B6)+(M70*'Throughput → collections'!B10*Pricing!B8*Pricing!B9)/12</f>
        <v>4897.8767500000004</v>
      </c>
    </row>
    <row r="71" spans="1:14" x14ac:dyDescent="0.25">
      <c r="A71" s="135">
        <v>66</v>
      </c>
      <c r="B71" s="54" t="str">
        <f>IF(A71&lt;='Growth &amp; timing'!B5,"Dev",IF(A71&lt;='Growth &amp; timing'!B5+'Growth &amp; timing'!B9,"Testing","Explosion"))</f>
        <v>Explosion</v>
      </c>
      <c r="C71" s="52">
        <f t="shared" ref="C71:C102" si="8">MAX(0,D71-D70)</f>
        <v>15.685262927168907</v>
      </c>
      <c r="D71" s="52">
        <f>IF(A71&lt;='Growth &amp; timing'!B5,0,IF(A71='Growth &amp; timing'!B5+1,'Growth &amp; timing'!B8,IF(A71&lt;='Growth &amp; timing'!B5+'Growth &amp; timing'!B9,D70*((1-'Growth &amp; timing'!B12)^(1/12))+'Growth &amp; timing'!B10,D70*(1+'Growth &amp; timing'!B11)^(1/12))))</f>
        <v>223.96483117168282</v>
      </c>
      <c r="E71" s="52">
        <f>ROUND(D71*'Growth &amp; timing'!B6,0)</f>
        <v>560</v>
      </c>
      <c r="F71" s="14">
        <f>E71*N71*IF(AND(A71&gt;='Growth &amp; timing'!B5+1,A71&lt;='Growth &amp; timing'!B5+12),'Growth &amp; timing'!B7,1)</f>
        <v>2742810.98</v>
      </c>
      <c r="G71" s="14">
        <f t="shared" si="6"/>
        <v>32913731.759999998</v>
      </c>
      <c r="H71" s="14">
        <f>E71*(L71*'Throughput → collections'!B8/12)*('AI-Scribe &amp; Azure'!B31+'Cost-to-serve (per encounter-cl'!B7)+E71*(L71*'Throughput → collections'!B8/12)*'Cost-to-serve (per encounter-cl'!B6*'Cost-to-serve (per encounter-cl'!B5+E71*'Cost-to-serve (per encounter-cl'!B9/12+'Cost-to-serve (per encounter-cl'!B10/12+'Staffing &amp; FTE'!Q87</f>
        <v>595551.85322916671</v>
      </c>
      <c r="I71" s="14">
        <f>'Staffing &amp; FTE'!R87+('Operating costs (fixed)'!B15-'Operating costs (fixed)'!B7)*(1+'Operating costs (fixed)'!B13)^(INT((A71-1)/12))+'Operating costs (fixed)'!B7*MIN(1,(A71-1)/12/'Operating costs (fixed)'!B8)+MAX(0,E71-E70)*'Operating costs (fixed)'!B11</f>
        <v>506142.6662264656</v>
      </c>
      <c r="J71" s="14">
        <f t="shared" si="7"/>
        <v>1641116.4605443678</v>
      </c>
      <c r="K71" s="14">
        <f>K70+J71+IF(A71='Financing &amp; returns'!B13,'Financing &amp; returns'!B12,0)</f>
        <v>16911849.943199694</v>
      </c>
      <c r="L71" s="55">
        <f>MIN('Throughput → collections'!B6,'Throughput → collections'!B5+('Throughput → collections'!B6-'Throughput → collections'!B5)*MIN(MAX(0,(A71-('Growth &amp; timing'!B5+1))/12),'Throughput → collections'!B7)/'Throughput → collections'!B7)</f>
        <v>28</v>
      </c>
      <c r="M71" s="14">
        <f>L71*'Throughput → collections'!B8*'Throughput → collections'!B9</f>
        <v>1071000</v>
      </c>
      <c r="N71" s="14">
        <f>(Pricing!B7*Pricing!B5+(1-Pricing!B7)*Pricing!B6)+(M71*'Throughput → collections'!B10*Pricing!B8*Pricing!B9)/12</f>
        <v>4897.8767500000004</v>
      </c>
    </row>
    <row r="72" spans="1:14" x14ac:dyDescent="0.25">
      <c r="A72" s="135">
        <v>67</v>
      </c>
      <c r="B72" s="54" t="str">
        <f>IF(A72&lt;='Growth &amp; timing'!B5,"Dev",IF(A72&lt;='Growth &amp; timing'!B5+'Growth &amp; timing'!B9,"Testing","Explosion"))</f>
        <v>Explosion</v>
      </c>
      <c r="C72" s="52">
        <f t="shared" si="8"/>
        <v>16.866499642647369</v>
      </c>
      <c r="D72" s="52">
        <f>IF(A72&lt;='Growth &amp; timing'!B5,0,IF(A72='Growth &amp; timing'!B5+1,'Growth &amp; timing'!B8,IF(A72&lt;='Growth &amp; timing'!B5+'Growth &amp; timing'!B9,D71*((1-'Growth &amp; timing'!B12)^(1/12))+'Growth &amp; timing'!B10,D71*(1+'Growth &amp; timing'!B11)^(1/12))))</f>
        <v>240.83133081433019</v>
      </c>
      <c r="E72" s="52">
        <f>ROUND(D72*'Growth &amp; timing'!B6,0)</f>
        <v>602</v>
      </c>
      <c r="F72" s="14">
        <f>E72*N72*IF(AND(A72&gt;='Growth &amp; timing'!B5+1,A72&lt;='Growth &amp; timing'!B5+12),'Growth &amp; timing'!B7,1)</f>
        <v>2948521.8035000004</v>
      </c>
      <c r="G72" s="14">
        <f t="shared" si="6"/>
        <v>35382261.642000005</v>
      </c>
      <c r="H72" s="14">
        <f>E72*(L72*'Throughput → collections'!B8/12)*('AI-Scribe &amp; Azure'!B31+'Cost-to-serve (per encounter-cl'!B7)+E72*(L72*'Throughput → collections'!B8/12)*'Cost-to-serve (per encounter-cl'!B6*'Cost-to-serve (per encounter-cl'!B5+E72*'Cost-to-serve (per encounter-cl'!B9/12+'Cost-to-serve (per encounter-cl'!B10/12+'Staffing &amp; FTE'!Q88</f>
        <v>668498.24222135416</v>
      </c>
      <c r="I72" s="14">
        <f>'Staffing &amp; FTE'!R88+('Operating costs (fixed)'!B15-'Operating costs (fixed)'!B7)*(1+'Operating costs (fixed)'!B13)^(INT((A72-1)/12))+'Operating costs (fixed)'!B7*MIN(1,(A72-1)/12/'Operating costs (fixed)'!B8)+MAX(0,E72-E71)*'Operating costs (fixed)'!B11</f>
        <v>506142.6662264656</v>
      </c>
      <c r="J72" s="14">
        <f t="shared" si="7"/>
        <v>1773880.8950521806</v>
      </c>
      <c r="K72" s="14">
        <f>K71+J72+IF(A72='Financing &amp; returns'!B13,'Financing &amp; returns'!B12,0)</f>
        <v>18685730.838251874</v>
      </c>
      <c r="L72" s="55">
        <f>MIN('Throughput → collections'!B6,'Throughput → collections'!B5+('Throughput → collections'!B6-'Throughput → collections'!B5)*MIN(MAX(0,(A72-('Growth &amp; timing'!B5+1))/12),'Throughput → collections'!B7)/'Throughput → collections'!B7)</f>
        <v>28</v>
      </c>
      <c r="M72" s="14">
        <f>L72*'Throughput → collections'!B8*'Throughput → collections'!B9</f>
        <v>1071000</v>
      </c>
      <c r="N72" s="14">
        <f>(Pricing!B7*Pricing!B5+(1-Pricing!B7)*Pricing!B6)+(M72*'Throughput → collections'!B10*Pricing!B8*Pricing!B9)/12</f>
        <v>4897.8767500000004</v>
      </c>
    </row>
    <row r="73" spans="1:14" x14ac:dyDescent="0.25">
      <c r="A73" s="135">
        <v>68</v>
      </c>
      <c r="B73" s="54" t="str">
        <f>IF(A73&lt;='Growth &amp; timing'!B5,"Dev",IF(A73&lt;='Growth &amp; timing'!B5+'Growth &amp; timing'!B9,"Testing","Explosion"))</f>
        <v>Explosion</v>
      </c>
      <c r="C73" s="52">
        <f t="shared" si="8"/>
        <v>18.136693756192614</v>
      </c>
      <c r="D73" s="52">
        <f>IF(A73&lt;='Growth &amp; timing'!B5,0,IF(A73='Growth &amp; timing'!B5+1,'Growth &amp; timing'!B8,IF(A73&lt;='Growth &amp; timing'!B5+'Growth &amp; timing'!B9,D72*((1-'Growth &amp; timing'!B12)^(1/12))+'Growth &amp; timing'!B10,D72*(1+'Growth &amp; timing'!B11)^(1/12))))</f>
        <v>258.9680245705228</v>
      </c>
      <c r="E73" s="52">
        <f>ROUND(D73*'Growth &amp; timing'!B6,0)</f>
        <v>647</v>
      </c>
      <c r="F73" s="14">
        <f>E73*N73*IF(AND(A73&gt;='Growth &amp; timing'!B5+1,A73&lt;='Growth &amp; timing'!B5+12),'Growth &amp; timing'!B7,1)</f>
        <v>3168926.2572500003</v>
      </c>
      <c r="G73" s="14">
        <f t="shared" si="6"/>
        <v>38027115.087000005</v>
      </c>
      <c r="H73" s="14">
        <f>E73*(L73*'Throughput → collections'!B8/12)*('AI-Scribe &amp; Azure'!B31+'Cost-to-serve (per encounter-cl'!B7)+E73*(L73*'Throughput → collections'!B8/12)*'Cost-to-serve (per encounter-cl'!B6*'Cost-to-serve (per encounter-cl'!B5+E73*'Cost-to-serve (per encounter-cl'!B9/12+'Cost-to-serve (per encounter-cl'!B10/12+'Staffing &amp; FTE'!Q89</f>
        <v>700683.658998698</v>
      </c>
      <c r="I73" s="14">
        <f>'Staffing &amp; FTE'!R89+('Operating costs (fixed)'!B15-'Operating costs (fixed)'!B7)*(1+'Operating costs (fixed)'!B13)^(INT((A73-1)/12))+'Operating costs (fixed)'!B7*MIN(1,(A73-1)/12/'Operating costs (fixed)'!B8)+MAX(0,E73-E72)*'Operating costs (fixed)'!B11</f>
        <v>527142.6662264656</v>
      </c>
      <c r="J73" s="14">
        <f t="shared" si="7"/>
        <v>1941099.9320248365</v>
      </c>
      <c r="K73" s="14">
        <f>K72+J73+IF(A73='Financing &amp; returns'!B13,'Financing &amp; returns'!B12,0)</f>
        <v>20626830.77027671</v>
      </c>
      <c r="L73" s="55">
        <f>MIN('Throughput → collections'!B6,'Throughput → collections'!B5+('Throughput → collections'!B6-'Throughput → collections'!B5)*MIN(MAX(0,(A73-('Growth &amp; timing'!B5+1))/12),'Throughput → collections'!B7)/'Throughput → collections'!B7)</f>
        <v>28</v>
      </c>
      <c r="M73" s="14">
        <f>L73*'Throughput → collections'!B8*'Throughput → collections'!B9</f>
        <v>1071000</v>
      </c>
      <c r="N73" s="14">
        <f>(Pricing!B7*Pricing!B5+(1-Pricing!B7)*Pricing!B6)+(M73*'Throughput → collections'!B10*Pricing!B8*Pricing!B9)/12</f>
        <v>4897.8767500000004</v>
      </c>
    </row>
    <row r="74" spans="1:14" x14ac:dyDescent="0.25">
      <c r="A74" s="135">
        <v>69</v>
      </c>
      <c r="B74" s="54" t="str">
        <f>IF(A74&lt;='Growth &amp; timing'!B5,"Dev",IF(A74&lt;='Growth &amp; timing'!B5+'Growth &amp; timing'!B9,"Testing","Explosion"))</f>
        <v>Explosion</v>
      </c>
      <c r="C74" s="52">
        <f t="shared" si="8"/>
        <v>19.502544533554726</v>
      </c>
      <c r="D74" s="52">
        <f>IF(A74&lt;='Growth &amp; timing'!B5,0,IF(A74='Growth &amp; timing'!B5+1,'Growth &amp; timing'!B8,IF(A74&lt;='Growth &amp; timing'!B5+'Growth &amp; timing'!B9,D73*((1-'Growth &amp; timing'!B12)^(1/12))+'Growth &amp; timing'!B10,D73*(1+'Growth &amp; timing'!B11)^(1/12))))</f>
        <v>278.47056910407753</v>
      </c>
      <c r="E74" s="52">
        <f>ROUND(D74*'Growth &amp; timing'!B6,0)</f>
        <v>696</v>
      </c>
      <c r="F74" s="14">
        <f>E74*N74*IF(AND(A74&gt;='Growth &amp; timing'!B5+1,A74&lt;='Growth &amp; timing'!B5+12),'Growth &amp; timing'!B7,1)</f>
        <v>3408922.2180000003</v>
      </c>
      <c r="G74" s="14">
        <f t="shared" si="6"/>
        <v>40907066.616000004</v>
      </c>
      <c r="H74" s="14">
        <f>E74*(L74*'Throughput → collections'!B8/12)*('AI-Scribe &amp; Azure'!B31+'Cost-to-serve (per encounter-cl'!B7)+E74*(L74*'Throughput → collections'!B8/12)*'Cost-to-serve (per encounter-cl'!B6*'Cost-to-serve (per encounter-cl'!B5+E74*'Cost-to-serve (per encounter-cl'!B9/12+'Cost-to-serve (per encounter-cl'!B10/12+'Staffing &amp; FTE'!Q90</f>
        <v>740521.11282291659</v>
      </c>
      <c r="I74" s="14">
        <f>'Staffing &amp; FTE'!R90+('Operating costs (fixed)'!B15-'Operating costs (fixed)'!B7)*(1+'Operating costs (fixed)'!B13)^(INT((A74-1)/12))+'Operating costs (fixed)'!B7*MIN(1,(A74-1)/12/'Operating costs (fixed)'!B8)+MAX(0,E74-E73)*'Operating costs (fixed)'!B11</f>
        <v>527142.6662264656</v>
      </c>
      <c r="J74" s="14">
        <f t="shared" si="7"/>
        <v>2141258.4389506183</v>
      </c>
      <c r="K74" s="14">
        <f>K73+J74+IF(A74='Financing &amp; returns'!B13,'Financing &amp; returns'!B12,0)</f>
        <v>22768089.209227327</v>
      </c>
      <c r="L74" s="55">
        <f>MIN('Throughput → collections'!B6,'Throughput → collections'!B5+('Throughput → collections'!B6-'Throughput → collections'!B5)*MIN(MAX(0,(A74-('Growth &amp; timing'!B5+1))/12),'Throughput → collections'!B7)/'Throughput → collections'!B7)</f>
        <v>28</v>
      </c>
      <c r="M74" s="14">
        <f>L74*'Throughput → collections'!B8*'Throughput → collections'!B9</f>
        <v>1071000</v>
      </c>
      <c r="N74" s="14">
        <f>(Pricing!B7*Pricing!B5+(1-Pricing!B7)*Pricing!B6)+(M74*'Throughput → collections'!B10*Pricing!B8*Pricing!B9)/12</f>
        <v>4897.8767500000004</v>
      </c>
    </row>
    <row r="75" spans="1:14" x14ac:dyDescent="0.25">
      <c r="A75" s="135">
        <v>70</v>
      </c>
      <c r="B75" s="54" t="str">
        <f>IF(A75&lt;='Growth &amp; timing'!B5,"Dev",IF(A75&lt;='Growth &amp; timing'!B5+'Growth &amp; timing'!B9,"Testing","Explosion"))</f>
        <v>Explosion</v>
      </c>
      <c r="C75" s="52">
        <f t="shared" si="8"/>
        <v>20.971255753459445</v>
      </c>
      <c r="D75" s="52">
        <f>IF(A75&lt;='Growth &amp; timing'!B5,0,IF(A75='Growth &amp; timing'!B5+1,'Growth &amp; timing'!B8,IF(A75&lt;='Growth &amp; timing'!B5+'Growth &amp; timing'!B9,D74*((1-'Growth &amp; timing'!B12)^(1/12))+'Growth &amp; timing'!B10,D74*(1+'Growth &amp; timing'!B11)^(1/12))))</f>
        <v>299.44182485753697</v>
      </c>
      <c r="E75" s="52">
        <f>ROUND(D75*'Growth &amp; timing'!B6,0)</f>
        <v>749</v>
      </c>
      <c r="F75" s="14">
        <f>E75*N75*IF(AND(A75&gt;='Growth &amp; timing'!B5+1,A75&lt;='Growth &amp; timing'!B5+12),'Growth &amp; timing'!B7,1)</f>
        <v>3668509.6857500002</v>
      </c>
      <c r="G75" s="14">
        <f t="shared" si="6"/>
        <v>44022116.229000002</v>
      </c>
      <c r="H75" s="14">
        <f>E75*(L75*'Throughput → collections'!B8/12)*('AI-Scribe &amp; Azure'!B31+'Cost-to-serve (per encounter-cl'!B7)+E75*(L75*'Throughput → collections'!B8/12)*'Cost-to-serve (per encounter-cl'!B6*'Cost-to-serve (per encounter-cl'!B5+E75*'Cost-to-serve (per encounter-cl'!B9/12+'Cost-to-serve (per encounter-cl'!B10/12+'Staffing &amp; FTE'!Q91</f>
        <v>788810.60369401053</v>
      </c>
      <c r="I75" s="14">
        <f>'Staffing &amp; FTE'!R91+('Operating costs (fixed)'!B15-'Operating costs (fixed)'!B7)*(1+'Operating costs (fixed)'!B13)^(INT((A75-1)/12))+'Operating costs (fixed)'!B7*MIN(1,(A75-1)/12/'Operating costs (fixed)'!B8)+MAX(0,E75-E74)*'Operating costs (fixed)'!B11</f>
        <v>527142.6662264656</v>
      </c>
      <c r="J75" s="14">
        <f t="shared" si="7"/>
        <v>2352556.4158295239</v>
      </c>
      <c r="K75" s="14">
        <f>K74+J75+IF(A75='Financing &amp; returns'!B13,'Financing &amp; returns'!B12,0)</f>
        <v>25120645.625056852</v>
      </c>
      <c r="L75" s="55">
        <f>MIN('Throughput → collections'!B6,'Throughput → collections'!B5+('Throughput → collections'!B6-'Throughput → collections'!B5)*MIN(MAX(0,(A75-('Growth &amp; timing'!B5+1))/12),'Throughput → collections'!B7)/'Throughput → collections'!B7)</f>
        <v>28</v>
      </c>
      <c r="M75" s="14">
        <f>L75*'Throughput → collections'!B8*'Throughput → collections'!B9</f>
        <v>1071000</v>
      </c>
      <c r="N75" s="14">
        <f>(Pricing!B7*Pricing!B5+(1-Pricing!B7)*Pricing!B6)+(M75*'Throughput → collections'!B10*Pricing!B8*Pricing!B9)/12</f>
        <v>4897.8767500000004</v>
      </c>
    </row>
    <row r="76" spans="1:14" x14ac:dyDescent="0.25">
      <c r="A76" s="135">
        <v>71</v>
      </c>
      <c r="B76" s="54" t="str">
        <f>IF(A76&lt;='Growth &amp; timing'!B5,"Dev",IF(A76&lt;='Growth &amp; timing'!B5+'Growth &amp; timing'!B9,"Testing","Explosion"))</f>
        <v>Explosion</v>
      </c>
      <c r="C76" s="52">
        <f t="shared" si="8"/>
        <v>22.550573701822714</v>
      </c>
      <c r="D76" s="52">
        <f>IF(A76&lt;='Growth &amp; timing'!B5,0,IF(A76='Growth &amp; timing'!B5+1,'Growth &amp; timing'!B8,IF(A76&lt;='Growth &amp; timing'!B5+'Growth &amp; timing'!B9,D75*((1-'Growth &amp; timing'!B12)^(1/12))+'Growth &amp; timing'!B10,D75*(1+'Growth &amp; timing'!B11)^(1/12))))</f>
        <v>321.99239855935969</v>
      </c>
      <c r="E76" s="52">
        <f>ROUND(D76*'Growth &amp; timing'!B6,0)</f>
        <v>805</v>
      </c>
      <c r="F76" s="14">
        <f>E76*N76*IF(AND(A76&gt;='Growth &amp; timing'!B5+1,A76&lt;='Growth &amp; timing'!B5+12),'Growth &amp; timing'!B7,1)</f>
        <v>3942790.7837500004</v>
      </c>
      <c r="G76" s="14">
        <f t="shared" si="6"/>
        <v>47313489.405000001</v>
      </c>
      <c r="H76" s="14">
        <f>E76*(L76*'Throughput → collections'!B8/12)*('AI-Scribe &amp; Azure'!B31+'Cost-to-serve (per encounter-cl'!B7)+E76*(L76*'Throughput → collections'!B8/12)*'Cost-to-serve (per encounter-cl'!B6*'Cost-to-serve (per encounter-cl'!B5+E76*'Cost-to-serve (per encounter-cl'!B9/12+'Cost-to-serve (per encounter-cl'!B10/12+'Staffing &amp; FTE'!Q92</f>
        <v>858539.12235026038</v>
      </c>
      <c r="I76" s="14">
        <f>'Staffing &amp; FTE'!R92+('Operating costs (fixed)'!B15-'Operating costs (fixed)'!B7)*(1+'Operating costs (fixed)'!B13)^(INT((A76-1)/12))+'Operating costs (fixed)'!B7*MIN(1,(A76-1)/12/'Operating costs (fixed)'!B8)+MAX(0,E76-E75)*'Operating costs (fixed)'!B11</f>
        <v>541142.6662264656</v>
      </c>
      <c r="J76" s="14">
        <f t="shared" si="7"/>
        <v>2543108.9951732741</v>
      </c>
      <c r="K76" s="14">
        <f>K75+J76+IF(A76='Financing &amp; returns'!B13,'Financing &amp; returns'!B12,0)</f>
        <v>27663754.620230127</v>
      </c>
      <c r="L76" s="55">
        <f>MIN('Throughput → collections'!B6,'Throughput → collections'!B5+('Throughput → collections'!B6-'Throughput → collections'!B5)*MIN(MAX(0,(A76-('Growth &amp; timing'!B5+1))/12),'Throughput → collections'!B7)/'Throughput → collections'!B7)</f>
        <v>28</v>
      </c>
      <c r="M76" s="14">
        <f>L76*'Throughput → collections'!B8*'Throughput → collections'!B9</f>
        <v>1071000</v>
      </c>
      <c r="N76" s="14">
        <f>(Pricing!B7*Pricing!B5+(1-Pricing!B7)*Pricing!B6)+(M76*'Throughput → collections'!B10*Pricing!B8*Pricing!B9)/12</f>
        <v>4897.8767500000004</v>
      </c>
    </row>
    <row r="77" spans="1:14" x14ac:dyDescent="0.25">
      <c r="A77" s="135">
        <v>72</v>
      </c>
      <c r="B77" s="54" t="str">
        <f>IF(A77&lt;='Growth &amp; timing'!B5,"Dev",IF(A77&lt;='Growth &amp; timing'!B5+'Growth &amp; timing'!B9,"Testing","Explosion"))</f>
        <v>Explosion</v>
      </c>
      <c r="C77" s="52">
        <f t="shared" si="8"/>
        <v>24.248828027260686</v>
      </c>
      <c r="D77" s="52">
        <f>IF(A77&lt;='Growth &amp; timing'!B5,0,IF(A77='Growth &amp; timing'!B5+1,'Growth &amp; timing'!B8,IF(A77&lt;='Growth &amp; timing'!B5+'Growth &amp; timing'!B9,D76*((1-'Growth &amp; timing'!B12)^(1/12))+'Growth &amp; timing'!B10,D76*(1+'Growth &amp; timing'!B11)^(1/12))))</f>
        <v>346.24122658662037</v>
      </c>
      <c r="E77" s="52">
        <f>ROUND(D77*'Growth &amp; timing'!B6,0)</f>
        <v>866</v>
      </c>
      <c r="F77" s="14">
        <f>E77*N77*IF(AND(A77&gt;='Growth &amp; timing'!B5+1,A77&lt;='Growth &amp; timing'!B5+12),'Growth &amp; timing'!B7,1)</f>
        <v>4241561.2655000007</v>
      </c>
      <c r="G77" s="14">
        <f t="shared" si="6"/>
        <v>50898735.186000004</v>
      </c>
      <c r="H77" s="14">
        <f>E77*(L77*'Throughput → collections'!B8/12)*('AI-Scribe &amp; Azure'!B31+'Cost-to-serve (per encounter-cl'!B7)+E77*(L77*'Throughput → collections'!B8/12)*'Cost-to-serve (per encounter-cl'!B6*'Cost-to-serve (per encounter-cl'!B5+E77*'Cost-to-serve (per encounter-cl'!B9/12+'Cost-to-serve (per encounter-cl'!B10/12+'Staffing &amp; FTE'!Q93</f>
        <v>919132.68731510418</v>
      </c>
      <c r="I77" s="14">
        <f>'Staffing &amp; FTE'!R93+('Operating costs (fixed)'!B15-'Operating costs (fixed)'!B7)*(1+'Operating costs (fixed)'!B13)^(INT((A77-1)/12))+'Operating costs (fixed)'!B7*MIN(1,(A77-1)/12/'Operating costs (fixed)'!B8)+MAX(0,E77-E76)*'Operating costs (fixed)'!B11</f>
        <v>562142.6662264656</v>
      </c>
      <c r="J77" s="14">
        <f t="shared" si="7"/>
        <v>2760285.9119584309</v>
      </c>
      <c r="K77" s="14">
        <f>K76+J77+IF(A77='Financing &amp; returns'!B13,'Financing &amp; returns'!B12,0)</f>
        <v>30424040.532188557</v>
      </c>
      <c r="L77" s="55">
        <f>MIN('Throughput → collections'!B6,'Throughput → collections'!B5+('Throughput → collections'!B6-'Throughput → collections'!B5)*MIN(MAX(0,(A77-('Growth &amp; timing'!B5+1))/12),'Throughput → collections'!B7)/'Throughput → collections'!B7)</f>
        <v>28</v>
      </c>
      <c r="M77" s="14">
        <f>L77*'Throughput → collections'!B8*'Throughput → collections'!B9</f>
        <v>1071000</v>
      </c>
      <c r="N77" s="14">
        <f>(Pricing!B7*Pricing!B5+(1-Pricing!B7)*Pricing!B6)+(M77*'Throughput → collections'!B10*Pricing!B8*Pricing!B9)/12</f>
        <v>4897.8767500000004</v>
      </c>
    </row>
  </sheetData>
  <mergeCells count="3">
    <mergeCell ref="A4:K4"/>
    <mergeCell ref="A2:N2"/>
    <mergeCell ref="A1:N1"/>
  </mergeCells>
  <conditionalFormatting sqref="A4:K4">
    <cfRule type="expression" dxfId="75" priority="1">
      <formula>MIN($K$6:$K$77)&lt;0</formula>
    </cfRule>
    <cfRule type="expression" dxfId="74" priority="2">
      <formula>AND(MIN($K$6:$K$77)&gt;=0,MIN($K$6:$K$77)&lt;500000)</formula>
    </cfRule>
    <cfRule type="expression" dxfId="73" priority="3">
      <formula>MIN($K$6:$K$77)&gt;=500000</formula>
    </cfRule>
  </conditionalFormatting>
  <conditionalFormatting sqref="A1:N77">
    <cfRule type="expression" dxfId="72" priority="5">
      <formula>_xludf.ISFORMULA(A1)</formula>
    </cfRule>
    <cfRule type="expression" dxfId="71" priority="6">
      <formula>AND(ISNUMBER(A1),NOT(_xludf.ISFORMULA(A1)),COLUMN(A1)&gt;1)</formula>
    </cfRule>
  </conditionalFormatting>
  <conditionalFormatting sqref="K6:K77">
    <cfRule type="cellIs" dxfId="70" priority="4" operator="lessThan">
      <formula>0</formula>
    </cfRule>
  </conditionalFormatting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2E7D32"/>
  </sheetPr>
  <dimension ref="A1:G76"/>
  <sheetViews>
    <sheetView showGridLines="0" workbookViewId="0"/>
  </sheetViews>
  <sheetFormatPr defaultRowHeight="15" x14ac:dyDescent="0.25"/>
  <cols>
    <col min="1" max="1" width="5.7109375" customWidth="1"/>
    <col min="2" max="2" width="10.140625" bestFit="1" customWidth="1"/>
    <col min="3" max="3" width="10.42578125" bestFit="1" customWidth="1"/>
    <col min="4" max="4" width="10.140625" bestFit="1" customWidth="1"/>
    <col min="5" max="5" width="8.5703125" bestFit="1" customWidth="1"/>
    <col min="6" max="6" width="10.140625" bestFit="1" customWidth="1"/>
    <col min="7" max="7" width="8.85546875" bestFit="1" customWidth="1"/>
  </cols>
  <sheetData>
    <row r="1" spans="1:7" ht="30" customHeight="1" x14ac:dyDescent="0.25">
      <c r="A1" s="110" t="s">
        <v>294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295</v>
      </c>
      <c r="B2" s="96"/>
      <c r="C2" s="96"/>
      <c r="D2" s="96"/>
      <c r="E2" s="96"/>
      <c r="F2" s="96"/>
      <c r="G2" s="96"/>
    </row>
    <row r="4" spans="1:7" x14ac:dyDescent="0.25">
      <c r="A4" s="2" t="s">
        <v>264</v>
      </c>
      <c r="B4" s="2" t="s">
        <v>296</v>
      </c>
      <c r="C4" s="2" t="s">
        <v>297</v>
      </c>
      <c r="D4" s="2" t="s">
        <v>298</v>
      </c>
      <c r="E4" s="2" t="s">
        <v>299</v>
      </c>
      <c r="F4" s="2" t="s">
        <v>300</v>
      </c>
      <c r="G4" s="2" t="s">
        <v>301</v>
      </c>
    </row>
    <row r="5" spans="1:7" x14ac:dyDescent="0.25">
      <c r="A5" s="51">
        <v>1</v>
      </c>
      <c r="B5" s="14">
        <f>'Proforma (monthly)'!F6</f>
        <v>0</v>
      </c>
      <c r="C5" s="14">
        <f>'Proforma (monthly)'!H6</f>
        <v>4166.666666666667</v>
      </c>
      <c r="D5" s="14">
        <f>'Proforma (monthly)'!F6-'Proforma (monthly)'!H6</f>
        <v>-4166.666666666667</v>
      </c>
      <c r="E5" s="14">
        <f>'Proforma (monthly)'!I6</f>
        <v>37166.666666666672</v>
      </c>
      <c r="F5" s="14">
        <f>'Proforma (monthly)'!J6</f>
        <v>-41333.333333333336</v>
      </c>
      <c r="G5" s="15">
        <f>IF('Proforma (monthly)'!F6=0,0,'Proforma (monthly)'!J6/'Proforma (monthly)'!F6)</f>
        <v>0</v>
      </c>
    </row>
    <row r="6" spans="1:7" x14ac:dyDescent="0.25">
      <c r="A6" s="51">
        <v>2</v>
      </c>
      <c r="B6" s="14">
        <f>'Proforma (monthly)'!F7</f>
        <v>0</v>
      </c>
      <c r="C6" s="14">
        <f>'Proforma (monthly)'!H7</f>
        <v>4166.666666666667</v>
      </c>
      <c r="D6" s="14">
        <f>'Proforma (monthly)'!F7-'Proforma (monthly)'!H7</f>
        <v>-4166.666666666667</v>
      </c>
      <c r="E6" s="14">
        <f>'Proforma (monthly)'!I7</f>
        <v>53944.444444444445</v>
      </c>
      <c r="F6" s="14">
        <f>'Proforma (monthly)'!J7</f>
        <v>-58111.111111111109</v>
      </c>
      <c r="G6" s="15">
        <f>IF('Proforma (monthly)'!F7=0,0,'Proforma (monthly)'!J7/'Proforma (monthly)'!F7)</f>
        <v>0</v>
      </c>
    </row>
    <row r="7" spans="1:7" x14ac:dyDescent="0.25">
      <c r="A7" s="51">
        <v>3</v>
      </c>
      <c r="B7" s="14">
        <f>'Proforma (monthly)'!F8</f>
        <v>0</v>
      </c>
      <c r="C7" s="14">
        <f>'Proforma (monthly)'!H8</f>
        <v>4166.666666666667</v>
      </c>
      <c r="D7" s="14">
        <f>'Proforma (monthly)'!F8-'Proforma (monthly)'!H8</f>
        <v>-4166.666666666667</v>
      </c>
      <c r="E7" s="14">
        <f>'Proforma (monthly)'!I8</f>
        <v>54055.555555555555</v>
      </c>
      <c r="F7" s="14">
        <f>'Proforma (monthly)'!J8</f>
        <v>-58222.222222222219</v>
      </c>
      <c r="G7" s="15">
        <f>IF('Proforma (monthly)'!F8=0,0,'Proforma (monthly)'!J8/'Proforma (monthly)'!F8)</f>
        <v>0</v>
      </c>
    </row>
    <row r="8" spans="1:7" x14ac:dyDescent="0.25">
      <c r="A8" s="51">
        <v>4</v>
      </c>
      <c r="B8" s="14">
        <f>'Proforma (monthly)'!F9</f>
        <v>0</v>
      </c>
      <c r="C8" s="14">
        <f>'Proforma (monthly)'!H9</f>
        <v>4166.666666666667</v>
      </c>
      <c r="D8" s="14">
        <f>'Proforma (monthly)'!F9-'Proforma (monthly)'!H9</f>
        <v>-4166.666666666667</v>
      </c>
      <c r="E8" s="14">
        <f>'Proforma (monthly)'!I9</f>
        <v>54166.666666666672</v>
      </c>
      <c r="F8" s="14">
        <f>'Proforma (monthly)'!J9</f>
        <v>-58333.333333333336</v>
      </c>
      <c r="G8" s="15">
        <f>IF('Proforma (monthly)'!F9=0,0,'Proforma (monthly)'!J9/'Proforma (monthly)'!F9)</f>
        <v>0</v>
      </c>
    </row>
    <row r="9" spans="1:7" x14ac:dyDescent="0.25">
      <c r="A9" s="51">
        <v>5</v>
      </c>
      <c r="B9" s="14">
        <f>'Proforma (monthly)'!F10</f>
        <v>0</v>
      </c>
      <c r="C9" s="14">
        <f>'Proforma (monthly)'!H10</f>
        <v>4166.666666666667</v>
      </c>
      <c r="D9" s="14">
        <f>'Proforma (monthly)'!F10-'Proforma (monthly)'!H10</f>
        <v>-4166.666666666667</v>
      </c>
      <c r="E9" s="14">
        <f>'Proforma (monthly)'!I10</f>
        <v>54277.777777777781</v>
      </c>
      <c r="F9" s="14">
        <f>'Proforma (monthly)'!J10</f>
        <v>-58444.444444444445</v>
      </c>
      <c r="G9" s="15">
        <f>IF('Proforma (monthly)'!F10=0,0,'Proforma (monthly)'!J10/'Proforma (monthly)'!F10)</f>
        <v>0</v>
      </c>
    </row>
    <row r="10" spans="1:7" x14ac:dyDescent="0.25">
      <c r="A10" s="51">
        <v>6</v>
      </c>
      <c r="B10" s="14">
        <f>'Proforma (monthly)'!F11</f>
        <v>0</v>
      </c>
      <c r="C10" s="14">
        <f>'Proforma (monthly)'!H11</f>
        <v>4166.666666666667</v>
      </c>
      <c r="D10" s="14">
        <f>'Proforma (monthly)'!F11-'Proforma (monthly)'!H11</f>
        <v>-4166.666666666667</v>
      </c>
      <c r="E10" s="14">
        <f>'Proforma (monthly)'!I11</f>
        <v>66888.888888888905</v>
      </c>
      <c r="F10" s="14">
        <f>'Proforma (monthly)'!J11</f>
        <v>-71055.555555555577</v>
      </c>
      <c r="G10" s="15">
        <f>IF('Proforma (monthly)'!F11=0,0,'Proforma (monthly)'!J11/'Proforma (monthly)'!F11)</f>
        <v>0</v>
      </c>
    </row>
    <row r="11" spans="1:7" x14ac:dyDescent="0.25">
      <c r="A11" s="51">
        <v>7</v>
      </c>
      <c r="B11" s="14">
        <f>'Proforma (monthly)'!F12</f>
        <v>0</v>
      </c>
      <c r="C11" s="14">
        <f>'Proforma (monthly)'!H12</f>
        <v>4166.666666666667</v>
      </c>
      <c r="D11" s="14">
        <f>'Proforma (monthly)'!F12-'Proforma (monthly)'!H12</f>
        <v>-4166.666666666667</v>
      </c>
      <c r="E11" s="14">
        <f>'Proforma (monthly)'!I12</f>
        <v>67000.000000000015</v>
      </c>
      <c r="F11" s="14">
        <f>'Proforma (monthly)'!J12</f>
        <v>-71166.666666666686</v>
      </c>
      <c r="G11" s="15">
        <f>IF('Proforma (monthly)'!F12=0,0,'Proforma (monthly)'!J12/'Proforma (monthly)'!F12)</f>
        <v>0</v>
      </c>
    </row>
    <row r="12" spans="1:7" x14ac:dyDescent="0.25">
      <c r="A12" s="51">
        <v>8</v>
      </c>
      <c r="B12" s="14">
        <f>'Proforma (monthly)'!F13</f>
        <v>0</v>
      </c>
      <c r="C12" s="14">
        <f>'Proforma (monthly)'!H13</f>
        <v>4166.666666666667</v>
      </c>
      <c r="D12" s="14">
        <f>'Proforma (monthly)'!F13-'Proforma (monthly)'!H13</f>
        <v>-4166.666666666667</v>
      </c>
      <c r="E12" s="14">
        <f>'Proforma (monthly)'!I13</f>
        <v>67111.111111111124</v>
      </c>
      <c r="F12" s="14">
        <f>'Proforma (monthly)'!J13</f>
        <v>-71277.777777777796</v>
      </c>
      <c r="G12" s="15">
        <f>IF('Proforma (monthly)'!F13=0,0,'Proforma (monthly)'!J13/'Proforma (monthly)'!F13)</f>
        <v>0</v>
      </c>
    </row>
    <row r="13" spans="1:7" x14ac:dyDescent="0.25">
      <c r="A13" s="51">
        <v>9</v>
      </c>
      <c r="B13" s="14">
        <f>'Proforma (monthly)'!F14</f>
        <v>0</v>
      </c>
      <c r="C13" s="14">
        <f>'Proforma (monthly)'!H14</f>
        <v>4166.666666666667</v>
      </c>
      <c r="D13" s="14">
        <f>'Proforma (monthly)'!F14-'Proforma (monthly)'!H14</f>
        <v>-4166.666666666667</v>
      </c>
      <c r="E13" s="14">
        <f>'Proforma (monthly)'!I14</f>
        <v>67222.222222222234</v>
      </c>
      <c r="F13" s="14">
        <f>'Proforma (monthly)'!J14</f>
        <v>-71388.888888888905</v>
      </c>
      <c r="G13" s="15">
        <f>IF('Proforma (monthly)'!F14=0,0,'Proforma (monthly)'!J14/'Proforma (monthly)'!F14)</f>
        <v>0</v>
      </c>
    </row>
    <row r="14" spans="1:7" x14ac:dyDescent="0.25">
      <c r="A14" s="51">
        <v>10</v>
      </c>
      <c r="B14" s="14">
        <f>'Proforma (monthly)'!F15</f>
        <v>0</v>
      </c>
      <c r="C14" s="14">
        <f>'Proforma (monthly)'!H15</f>
        <v>4166.666666666667</v>
      </c>
      <c r="D14" s="14">
        <f>'Proforma (monthly)'!F15-'Proforma (monthly)'!H15</f>
        <v>-4166.666666666667</v>
      </c>
      <c r="E14" s="14">
        <f>'Proforma (monthly)'!I15</f>
        <v>67333.333333333343</v>
      </c>
      <c r="F14" s="14">
        <f>'Proforma (monthly)'!J15</f>
        <v>-71500.000000000015</v>
      </c>
      <c r="G14" s="15">
        <f>IF('Proforma (monthly)'!F15=0,0,'Proforma (monthly)'!J15/'Proforma (monthly)'!F15)</f>
        <v>0</v>
      </c>
    </row>
    <row r="15" spans="1:7" x14ac:dyDescent="0.25">
      <c r="A15" s="51">
        <v>11</v>
      </c>
      <c r="B15" s="14">
        <f>'Proforma (monthly)'!F16</f>
        <v>7664.2151250000006</v>
      </c>
      <c r="C15" s="14">
        <f>'Proforma (monthly)'!H16</f>
        <v>5073.1150846354167</v>
      </c>
      <c r="D15" s="14">
        <f>'Proforma (monthly)'!F16-'Proforma (monthly)'!H16</f>
        <v>2591.1000403645839</v>
      </c>
      <c r="E15" s="14">
        <f>'Proforma (monthly)'!I16</f>
        <v>97444.444444444438</v>
      </c>
      <c r="F15" s="14">
        <f>'Proforma (monthly)'!J16</f>
        <v>-94853.344404079849</v>
      </c>
      <c r="G15" s="15">
        <f>IF('Proforma (monthly)'!F16=0,0,'Proforma (monthly)'!J16/'Proforma (monthly)'!F16)</f>
        <v>-12.376132827310199</v>
      </c>
    </row>
    <row r="16" spans="1:7" x14ac:dyDescent="0.25">
      <c r="A16" s="51">
        <v>12</v>
      </c>
      <c r="B16" s="14">
        <f>'Proforma (monthly)'!F17</f>
        <v>12895.049562499999</v>
      </c>
      <c r="C16" s="14">
        <f>'Proforma (monthly)'!H17</f>
        <v>5692.8112228732643</v>
      </c>
      <c r="D16" s="14">
        <f>'Proforma (monthly)'!F17-'Proforma (monthly)'!H17</f>
        <v>7202.2383396267342</v>
      </c>
      <c r="E16" s="14">
        <f>'Proforma (monthly)'!I17</f>
        <v>112555.55555555555</v>
      </c>
      <c r="F16" s="14">
        <f>'Proforma (monthly)'!J17</f>
        <v>-105353.31721592881</v>
      </c>
      <c r="G16" s="15">
        <f>IF('Proforma (monthly)'!F17=0,0,'Proforma (monthly)'!J17/'Proforma (monthly)'!F17)</f>
        <v>-8.1700591149572652</v>
      </c>
    </row>
    <row r="17" spans="1:7" x14ac:dyDescent="0.25">
      <c r="A17" s="51">
        <v>13</v>
      </c>
      <c r="B17" s="14">
        <f>'Proforma (monthly)'!F18</f>
        <v>18222.970150000001</v>
      </c>
      <c r="C17" s="14">
        <f>'Proforma (monthly)'!H18</f>
        <v>6324.8251154513891</v>
      </c>
      <c r="D17" s="14">
        <f>'Proforma (monthly)'!F18-'Proforma (monthly)'!H18</f>
        <v>11898.145034548612</v>
      </c>
      <c r="E17" s="14">
        <f>'Proforma (monthly)'!I18</f>
        <v>122234.01666666665</v>
      </c>
      <c r="F17" s="14">
        <f>'Proforma (monthly)'!J18</f>
        <v>-110335.87163211804</v>
      </c>
      <c r="G17" s="15">
        <f>IF('Proforma (monthly)'!F18=0,0,'Proforma (monthly)'!J18/'Proforma (monthly)'!F18)</f>
        <v>-6.054768828786016</v>
      </c>
    </row>
    <row r="18" spans="1:7" x14ac:dyDescent="0.25">
      <c r="A18" s="51">
        <v>14</v>
      </c>
      <c r="B18" s="14">
        <f>'Proforma (monthly)'!F19</f>
        <v>26275.529875000004</v>
      </c>
      <c r="C18" s="14">
        <f>'Proforma (monthly)'!H19</f>
        <v>7280.544550781251</v>
      </c>
      <c r="D18" s="14">
        <f>'Proforma (monthly)'!F19-'Proforma (monthly)'!H19</f>
        <v>18994.985324218753</v>
      </c>
      <c r="E18" s="14">
        <f>'Proforma (monthly)'!I19</f>
        <v>134845.12777777776</v>
      </c>
      <c r="F18" s="14">
        <f>'Proforma (monthly)'!J19</f>
        <v>-115850.142453559</v>
      </c>
      <c r="G18" s="15">
        <f>IF('Proforma (monthly)'!F19=0,0,'Proforma (monthly)'!J19/'Proforma (monthly)'!F19)</f>
        <v>-4.4090506644277134</v>
      </c>
    </row>
    <row r="19" spans="1:7" x14ac:dyDescent="0.25">
      <c r="A19" s="51">
        <v>15</v>
      </c>
      <c r="B19" s="14">
        <f>'Proforma (monthly)'!F20</f>
        <v>31821.894300000004</v>
      </c>
      <c r="C19" s="14">
        <f>'Proforma (monthly)'!H20</f>
        <v>7940.2733906250005</v>
      </c>
      <c r="D19" s="14">
        <f>'Proforma (monthly)'!F20-'Proforma (monthly)'!H20</f>
        <v>23881.620909375004</v>
      </c>
      <c r="E19" s="14">
        <f>'Proforma (monthly)'!I20</f>
        <v>134956.23888888888</v>
      </c>
      <c r="F19" s="14">
        <f>'Proforma (monthly)'!J20</f>
        <v>-111074.61797951387</v>
      </c>
      <c r="G19" s="15">
        <f>IF('Proforma (monthly)'!F20=0,0,'Proforma (monthly)'!J20/'Proforma (monthly)'!F20)</f>
        <v>-3.4905092994263973</v>
      </c>
    </row>
    <row r="20" spans="1:7" x14ac:dyDescent="0.25">
      <c r="A20" s="51">
        <v>16</v>
      </c>
      <c r="B20" s="14">
        <f>'Proforma (monthly)'!F21</f>
        <v>40141.440937500003</v>
      </c>
      <c r="C20" s="14">
        <f>'Proforma (monthly)'!H21</f>
        <v>8929.8666503906243</v>
      </c>
      <c r="D20" s="14">
        <f>'Proforma (monthly)'!F21-'Proforma (monthly)'!H21</f>
        <v>31211.574287109379</v>
      </c>
      <c r="E20" s="14">
        <f>'Proforma (monthly)'!I21</f>
        <v>135067.34999999998</v>
      </c>
      <c r="F20" s="14">
        <f>'Proforma (monthly)'!J21</f>
        <v>-103855.77571289059</v>
      </c>
      <c r="G20" s="15">
        <f>IF('Proforma (monthly)'!F21=0,0,'Proforma (monthly)'!J21/'Proforma (monthly)'!F21)</f>
        <v>-2.5872458309255379</v>
      </c>
    </row>
    <row r="21" spans="1:7" x14ac:dyDescent="0.25">
      <c r="A21" s="51">
        <v>17</v>
      </c>
      <c r="B21" s="14">
        <f>'Proforma (monthly)'!F22</f>
        <v>43205.881600000001</v>
      </c>
      <c r="C21" s="14">
        <f>'Proforma (monthly)'!H22</f>
        <v>16796.684333333335</v>
      </c>
      <c r="D21" s="14">
        <f>'Proforma (monthly)'!F22-'Proforma (monthly)'!H22</f>
        <v>26409.197266666666</v>
      </c>
      <c r="E21" s="14">
        <f>'Proforma (monthly)'!I22</f>
        <v>135178.4611111111</v>
      </c>
      <c r="F21" s="14">
        <f>'Proforma (monthly)'!J22</f>
        <v>-108769.26384444443</v>
      </c>
      <c r="G21" s="15">
        <f>IF('Proforma (monthly)'!F22=0,0,'Proforma (monthly)'!J22/'Proforma (monthly)'!F22)</f>
        <v>-2.5174642853357363</v>
      </c>
    </row>
    <row r="22" spans="1:7" x14ac:dyDescent="0.25">
      <c r="A22" s="51">
        <v>18</v>
      </c>
      <c r="B22" s="14">
        <f>'Proforma (monthly)'!F23</f>
        <v>46318.865337500007</v>
      </c>
      <c r="C22" s="14">
        <f>'Proforma (monthly)'!H23</f>
        <v>17169.66089344618</v>
      </c>
      <c r="D22" s="14">
        <f>'Proforma (monthly)'!F23-'Proforma (monthly)'!H23</f>
        <v>29149.204444053827</v>
      </c>
      <c r="E22" s="14">
        <f>'Proforma (monthly)'!I23</f>
        <v>151956.23888888888</v>
      </c>
      <c r="F22" s="14">
        <f>'Proforma (monthly)'!J23</f>
        <v>-122807.03444483505</v>
      </c>
      <c r="G22" s="15">
        <f>IF('Proforma (monthly)'!F23=0,0,'Proforma (monthly)'!J23/'Proforma (monthly)'!F23)</f>
        <v>-2.6513394391250298</v>
      </c>
    </row>
    <row r="23" spans="1:7" x14ac:dyDescent="0.25">
      <c r="A23" s="51">
        <v>19</v>
      </c>
      <c r="B23" s="14">
        <f>'Proforma (monthly)'!F24</f>
        <v>49480.392150000007</v>
      </c>
      <c r="C23" s="14">
        <f>'Proforma (monthly)'!H24</f>
        <v>17548.796330729165</v>
      </c>
      <c r="D23" s="14">
        <f>'Proforma (monthly)'!F24-'Proforma (monthly)'!H24</f>
        <v>31931.595819270842</v>
      </c>
      <c r="E23" s="14">
        <f>'Proforma (monthly)'!I24</f>
        <v>161234.01666666666</v>
      </c>
      <c r="F23" s="14">
        <f>'Proforma (monthly)'!J24</f>
        <v>-129302.42084739581</v>
      </c>
      <c r="G23" s="15">
        <f>IF('Proforma (monthly)'!F24=0,0,'Proforma (monthly)'!J24/'Proforma (monthly)'!F24)</f>
        <v>-2.6132052562440289</v>
      </c>
    </row>
    <row r="24" spans="1:7" x14ac:dyDescent="0.25">
      <c r="A24" s="51">
        <v>20</v>
      </c>
      <c r="B24" s="14">
        <f>'Proforma (monthly)'!F25</f>
        <v>55463.644250000005</v>
      </c>
      <c r="C24" s="14">
        <f>'Proforma (monthly)'!H25</f>
        <v>18263.955065104168</v>
      </c>
      <c r="D24" s="14">
        <f>'Proforma (monthly)'!F25-'Proforma (monthly)'!H25</f>
        <v>37199.689184895833</v>
      </c>
      <c r="E24" s="14">
        <f>'Proforma (monthly)'!I25</f>
        <v>161345.12777777779</v>
      </c>
      <c r="F24" s="14">
        <f>'Proforma (monthly)'!J25</f>
        <v>-124145.43859288195</v>
      </c>
      <c r="G24" s="15">
        <f>IF('Proforma (monthly)'!F25=0,0,'Proforma (monthly)'!J25/'Proforma (monthly)'!F25)</f>
        <v>-2.2383209807365287</v>
      </c>
    </row>
    <row r="25" spans="1:7" x14ac:dyDescent="0.25">
      <c r="A25" s="51">
        <v>21</v>
      </c>
      <c r="B25" s="14">
        <f>'Proforma (monthly)'!F26</f>
        <v>58746.52874999999</v>
      </c>
      <c r="C25" s="14">
        <f>'Proforma (monthly)'!H26</f>
        <v>18658.487695312499</v>
      </c>
      <c r="D25" s="14">
        <f>'Proforma (monthly)'!F26-'Proforma (monthly)'!H26</f>
        <v>40088.041054687492</v>
      </c>
      <c r="E25" s="14">
        <f>'Proforma (monthly)'!I26</f>
        <v>161456.23888888888</v>
      </c>
      <c r="F25" s="14">
        <f>'Proforma (monthly)'!J26</f>
        <v>-121368.19783420139</v>
      </c>
      <c r="G25" s="15">
        <f>IF('Proforma (monthly)'!F26=0,0,'Proforma (monthly)'!J26/'Proforma (monthly)'!F26)</f>
        <v>-2.0659637329499474</v>
      </c>
    </row>
    <row r="26" spans="1:7" x14ac:dyDescent="0.25">
      <c r="A26" s="51">
        <v>22</v>
      </c>
      <c r="B26" s="14">
        <f>'Proforma (monthly)'!F27</f>
        <v>64899.681612500004</v>
      </c>
      <c r="C26" s="14">
        <f>'Proforma (monthly)'!H27</f>
        <v>19395.202499782987</v>
      </c>
      <c r="D26" s="14">
        <f>'Proforma (monthly)'!F27-'Proforma (monthly)'!H27</f>
        <v>45504.479112717017</v>
      </c>
      <c r="E26" s="14">
        <f>'Proforma (monthly)'!I27</f>
        <v>174067.35</v>
      </c>
      <c r="F26" s="14">
        <f>'Proforma (monthly)'!J27</f>
        <v>-128562.87088728299</v>
      </c>
      <c r="G26" s="15">
        <f>IF('Proforma (monthly)'!F27=0,0,'Proforma (monthly)'!J27/'Proforma (monthly)'!F27)</f>
        <v>-1.9809476363058325</v>
      </c>
    </row>
    <row r="27" spans="1:7" x14ac:dyDescent="0.25">
      <c r="A27" s="51">
        <v>23</v>
      </c>
      <c r="B27" s="14">
        <f>'Proforma (monthly)'!F28</f>
        <v>101642.74375000001</v>
      </c>
      <c r="C27" s="14">
        <f>'Proforma (monthly)'!H28</f>
        <v>20144.235058593753</v>
      </c>
      <c r="D27" s="14">
        <f>'Proforma (monthly)'!F28-'Proforma (monthly)'!H28</f>
        <v>81498.508691406256</v>
      </c>
      <c r="E27" s="14">
        <f>'Proforma (monthly)'!I28</f>
        <v>174178.4611111111</v>
      </c>
      <c r="F27" s="14">
        <f>'Proforma (monthly)'!J28</f>
        <v>-92679.952419704845</v>
      </c>
      <c r="G27" s="15">
        <f>IF('Proforma (monthly)'!F28=0,0,'Proforma (monthly)'!J28/'Proforma (monthly)'!F28)</f>
        <v>-0.91182064749904823</v>
      </c>
    </row>
    <row r="28" spans="1:7" x14ac:dyDescent="0.25">
      <c r="A28" s="51">
        <v>24</v>
      </c>
      <c r="B28" s="14">
        <f>'Proforma (monthly)'!F29</f>
        <v>110710.35112500003</v>
      </c>
      <c r="C28" s="14">
        <f>'Proforma (monthly)'!H29</f>
        <v>20905.58537174479</v>
      </c>
      <c r="D28" s="14">
        <f>'Proforma (monthly)'!F29-'Proforma (monthly)'!H29</f>
        <v>89804.76575325524</v>
      </c>
      <c r="E28" s="14">
        <f>'Proforma (monthly)'!I29</f>
        <v>174289.57222222222</v>
      </c>
      <c r="F28" s="14">
        <f>'Proforma (monthly)'!J29</f>
        <v>-84484.806468966985</v>
      </c>
      <c r="G28" s="15">
        <f>IF('Proforma (monthly)'!F29=0,0,'Proforma (monthly)'!J29/'Proforma (monthly)'!F29)</f>
        <v>-0.76311569433627302</v>
      </c>
    </row>
    <row r="29" spans="1:7" x14ac:dyDescent="0.25">
      <c r="A29" s="51">
        <v>25</v>
      </c>
      <c r="B29" s="14">
        <f>'Proforma (monthly)'!F30</f>
        <v>119916.65300000002</v>
      </c>
      <c r="C29" s="14">
        <f>'Proforma (monthly)'!H30</f>
        <v>21679.253439236112</v>
      </c>
      <c r="D29" s="14">
        <f>'Proforma (monthly)'!F30-'Proforma (monthly)'!H30</f>
        <v>98237.399560763908</v>
      </c>
      <c r="E29" s="14">
        <f>'Proforma (monthly)'!I30</f>
        <v>198433.11557833329</v>
      </c>
      <c r="F29" s="14">
        <f>'Proforma (monthly)'!J30</f>
        <v>-100195.71601756939</v>
      </c>
      <c r="G29" s="15">
        <f>IF('Proforma (monthly)'!F30=0,0,'Proforma (monthly)'!J30/'Proforma (monthly)'!F30)</f>
        <v>-0.83554463463526929</v>
      </c>
    </row>
    <row r="30" spans="1:7" x14ac:dyDescent="0.25">
      <c r="A30" s="51">
        <v>26</v>
      </c>
      <c r="B30" s="14">
        <f>'Proforma (monthly)'!F31</f>
        <v>129261.64937500001</v>
      </c>
      <c r="C30" s="14">
        <f>'Proforma (monthly)'!H31</f>
        <v>22465.239261067709</v>
      </c>
      <c r="D30" s="14">
        <f>'Proforma (monthly)'!F31-'Proforma (monthly)'!H31</f>
        <v>106796.4101139323</v>
      </c>
      <c r="E30" s="14">
        <f>'Proforma (monthly)'!I31</f>
        <v>198544.22668944442</v>
      </c>
      <c r="F30" s="14">
        <f>'Proforma (monthly)'!J31</f>
        <v>-91747.816575512115</v>
      </c>
      <c r="G30" s="15">
        <f>IF('Proforma (monthly)'!F31=0,0,'Proforma (monthly)'!J31/'Proforma (monthly)'!F31)</f>
        <v>-0.70978373724246091</v>
      </c>
    </row>
    <row r="31" spans="1:7" x14ac:dyDescent="0.25">
      <c r="A31" s="51">
        <v>27</v>
      </c>
      <c r="B31" s="14">
        <f>'Proforma (monthly)'!F32</f>
        <v>138745.34025000004</v>
      </c>
      <c r="C31" s="14">
        <f>'Proforma (monthly)'!H32</f>
        <v>23263.542837239587</v>
      </c>
      <c r="D31" s="14">
        <f>'Proforma (monthly)'!F32-'Proforma (monthly)'!H32</f>
        <v>115481.79741276045</v>
      </c>
      <c r="E31" s="14">
        <f>'Proforma (monthly)'!I32</f>
        <v>198655.33780055551</v>
      </c>
      <c r="F31" s="14">
        <f>'Proforma (monthly)'!J32</f>
        <v>-83173.540387795059</v>
      </c>
      <c r="G31" s="15">
        <f>IF('Proforma (monthly)'!F32=0,0,'Proforma (monthly)'!J32/'Proforma (monthly)'!F32)</f>
        <v>-0.59946907217156098</v>
      </c>
    </row>
    <row r="32" spans="1:7" x14ac:dyDescent="0.25">
      <c r="A32" s="51">
        <v>28</v>
      </c>
      <c r="B32" s="14">
        <f>'Proforma (monthly)'!F33</f>
        <v>148367.72562500002</v>
      </c>
      <c r="C32" s="14">
        <f>'Proforma (monthly)'!H33</f>
        <v>24074.164167751736</v>
      </c>
      <c r="D32" s="14">
        <f>'Proforma (monthly)'!F33-'Proforma (monthly)'!H33</f>
        <v>124293.56145724829</v>
      </c>
      <c r="E32" s="14">
        <f>'Proforma (monthly)'!I33</f>
        <v>198766.44891166664</v>
      </c>
      <c r="F32" s="14">
        <f>'Proforma (monthly)'!J33</f>
        <v>-74472.887454418349</v>
      </c>
      <c r="G32" s="15">
        <f>IF('Proforma (monthly)'!F33=0,0,'Proforma (monthly)'!J33/'Proforma (monthly)'!F33)</f>
        <v>-0.50194802906562608</v>
      </c>
    </row>
    <row r="33" spans="1:7" x14ac:dyDescent="0.25">
      <c r="A33" s="51">
        <v>29</v>
      </c>
      <c r="B33" s="14">
        <f>'Proforma (monthly)'!F34</f>
        <v>162402.557</v>
      </c>
      <c r="C33" s="14">
        <f>'Proforma (monthly)'!H34</f>
        <v>58088.015953125003</v>
      </c>
      <c r="D33" s="14">
        <f>'Proforma (monthly)'!F34-'Proforma (monthly)'!H34</f>
        <v>104314.54104687501</v>
      </c>
      <c r="E33" s="14">
        <f>'Proforma (monthly)'!I34</f>
        <v>206377.56002277776</v>
      </c>
      <c r="F33" s="14">
        <f>'Proforma (monthly)'!J34</f>
        <v>-102063.01897590276</v>
      </c>
      <c r="G33" s="15">
        <f>IF('Proforma (monthly)'!F34=0,0,'Proforma (monthly)'!J34/'Proforma (monthly)'!F34)</f>
        <v>-0.62845697051372629</v>
      </c>
    </row>
    <row r="34" spans="1:7" x14ac:dyDescent="0.25">
      <c r="A34" s="51">
        <v>30</v>
      </c>
      <c r="B34" s="14">
        <f>'Proforma (monthly)'!F35</f>
        <v>176645.43012499998</v>
      </c>
      <c r="C34" s="14">
        <f>'Proforma (monthly)'!H35</f>
        <v>59287.011036675351</v>
      </c>
      <c r="D34" s="14">
        <f>'Proforma (monthly)'!F35-'Proforma (monthly)'!H35</f>
        <v>117358.41908832463</v>
      </c>
      <c r="E34" s="14">
        <f>'Proforma (monthly)'!I35</f>
        <v>230655.33780055554</v>
      </c>
      <c r="F34" s="14">
        <f>'Proforma (monthly)'!J35</f>
        <v>-113296.91871223091</v>
      </c>
      <c r="G34" s="15">
        <f>IF('Proforma (monthly)'!F35=0,0,'Proforma (monthly)'!J35/'Proforma (monthly)'!F35)</f>
        <v>-0.64138041177775373</v>
      </c>
    </row>
    <row r="35" spans="1:7" x14ac:dyDescent="0.25">
      <c r="A35" s="51">
        <v>31</v>
      </c>
      <c r="B35" s="14">
        <f>'Proforma (monthly)'!F36</f>
        <v>191096.34500000003</v>
      </c>
      <c r="C35" s="14">
        <f>'Proforma (monthly)'!H36</f>
        <v>65504.482751736112</v>
      </c>
      <c r="D35" s="14">
        <f>'Proforma (monthly)'!F36-'Proforma (monthly)'!H36</f>
        <v>125591.86224826392</v>
      </c>
      <c r="E35" s="14">
        <f>'Proforma (monthly)'!I36</f>
        <v>230766.44891166667</v>
      </c>
      <c r="F35" s="14">
        <f>'Proforma (monthly)'!J36</f>
        <v>-105174.58666340275</v>
      </c>
      <c r="G35" s="15">
        <f>IF('Proforma (monthly)'!F36=0,0,'Proforma (monthly)'!J36/'Proforma (monthly)'!F36)</f>
        <v>-0.55037466396022761</v>
      </c>
    </row>
    <row r="36" spans="1:7" x14ac:dyDescent="0.25">
      <c r="A36" s="51">
        <v>32</v>
      </c>
      <c r="B36" s="14">
        <f>'Proforma (monthly)'!F37</f>
        <v>205755.30162500002</v>
      </c>
      <c r="C36" s="14">
        <f>'Proforma (monthly)'!H37</f>
        <v>66740.431098307294</v>
      </c>
      <c r="D36" s="14">
        <f>'Proforma (monthly)'!F37-'Proforma (monthly)'!H37</f>
        <v>139014.87052669271</v>
      </c>
      <c r="E36" s="14">
        <f>'Proforma (monthly)'!I37</f>
        <v>230877.56002277776</v>
      </c>
      <c r="F36" s="14">
        <f>'Proforma (monthly)'!J37</f>
        <v>-91862.689496085048</v>
      </c>
      <c r="G36" s="15">
        <f>IF('Proforma (monthly)'!F37=0,0,'Proforma (monthly)'!J37/'Proforma (monthly)'!F37)</f>
        <v>-0.44646572297568149</v>
      </c>
    </row>
    <row r="37" spans="1:7" x14ac:dyDescent="0.25">
      <c r="A37" s="51">
        <v>33</v>
      </c>
      <c r="B37" s="14">
        <f>'Proforma (monthly)'!F38</f>
        <v>225034.74599999998</v>
      </c>
      <c r="C37" s="14">
        <f>'Proforma (monthly)'!H38</f>
        <v>80698.086531249995</v>
      </c>
      <c r="D37" s="14">
        <f>'Proforma (monthly)'!F38-'Proforma (monthly)'!H38</f>
        <v>144336.65946875</v>
      </c>
      <c r="E37" s="14">
        <f>'Proforma (monthly)'!I38</f>
        <v>242655.33780055554</v>
      </c>
      <c r="F37" s="14">
        <f>'Proforma (monthly)'!J38</f>
        <v>-98318.678331805539</v>
      </c>
      <c r="G37" s="15">
        <f>IF('Proforma (monthly)'!F38=0,0,'Proforma (monthly)'!J38/'Proforma (monthly)'!F38)</f>
        <v>-0.43690443400151879</v>
      </c>
    </row>
    <row r="38" spans="1:7" x14ac:dyDescent="0.25">
      <c r="A38" s="51">
        <v>34</v>
      </c>
      <c r="B38" s="14">
        <f>'Proforma (monthly)'!F39</f>
        <v>244591.57937499997</v>
      </c>
      <c r="C38" s="14">
        <f>'Proforma (monthly)'!H39</f>
        <v>82347.044139539925</v>
      </c>
      <c r="D38" s="14">
        <f>'Proforma (monthly)'!F39-'Proforma (monthly)'!H39</f>
        <v>162244.53523546003</v>
      </c>
      <c r="E38" s="14">
        <f>'Proforma (monthly)'!I39</f>
        <v>248599.78224499998</v>
      </c>
      <c r="F38" s="14">
        <f>'Proforma (monthly)'!J39</f>
        <v>-86355.247009539948</v>
      </c>
      <c r="G38" s="15">
        <f>IF('Proforma (monthly)'!F39=0,0,'Proforma (monthly)'!J39/'Proforma (monthly)'!F39)</f>
        <v>-0.35305895333846654</v>
      </c>
    </row>
    <row r="39" spans="1:7" x14ac:dyDescent="0.25">
      <c r="A39" s="51">
        <v>35</v>
      </c>
      <c r="B39" s="14">
        <f>'Proforma (monthly)'!F40</f>
        <v>264425.80175000004</v>
      </c>
      <c r="C39" s="14">
        <f>'Proforma (monthly)'!H40</f>
        <v>84020.63725651041</v>
      </c>
      <c r="D39" s="14">
        <f>'Proforma (monthly)'!F40-'Proforma (monthly)'!H40</f>
        <v>180405.16449348963</v>
      </c>
      <c r="E39" s="14">
        <f>'Proforma (monthly)'!I40</f>
        <v>257710.8933561111</v>
      </c>
      <c r="F39" s="14">
        <f>'Proforma (monthly)'!J40</f>
        <v>-77305.728862621472</v>
      </c>
      <c r="G39" s="15">
        <f>IF('Proforma (monthly)'!F40=0,0,'Proforma (monthly)'!J40/'Proforma (monthly)'!F40)</f>
        <v>-0.29235319833013029</v>
      </c>
    </row>
    <row r="40" spans="1:7" x14ac:dyDescent="0.25">
      <c r="A40" s="51">
        <v>36</v>
      </c>
      <c r="B40" s="14">
        <f>'Proforma (monthly)'!F41</f>
        <v>284537.41312500002</v>
      </c>
      <c r="C40" s="14">
        <f>'Proforma (monthly)'!H41</f>
        <v>90718.865882161452</v>
      </c>
      <c r="D40" s="14">
        <f>'Proforma (monthly)'!F41-'Proforma (monthly)'!H41</f>
        <v>193818.54724283857</v>
      </c>
      <c r="E40" s="14">
        <f>'Proforma (monthly)'!I41</f>
        <v>257822.0044672222</v>
      </c>
      <c r="F40" s="14">
        <f>'Proforma (monthly)'!J41</f>
        <v>-64003.45722438363</v>
      </c>
      <c r="G40" s="15">
        <f>IF('Proforma (monthly)'!F41=0,0,'Proforma (monthly)'!J41/'Proforma (monthly)'!F41)</f>
        <v>-0.22493863468234421</v>
      </c>
    </row>
    <row r="41" spans="1:7" x14ac:dyDescent="0.25">
      <c r="A41" s="51">
        <v>37</v>
      </c>
      <c r="B41" s="14">
        <f>'Proforma (monthly)'!F42</f>
        <v>309477.55400000012</v>
      </c>
      <c r="C41" s="14">
        <f>'Proforma (monthly)'!H42</f>
        <v>92823.94489236112</v>
      </c>
      <c r="D41" s="14">
        <f>'Proforma (monthly)'!F42-'Proforma (monthly)'!H42</f>
        <v>216653.609107639</v>
      </c>
      <c r="E41" s="14">
        <f>'Proforma (monthly)'!I42</f>
        <v>278514.48395207484</v>
      </c>
      <c r="F41" s="14">
        <f>'Proforma (monthly)'!J42</f>
        <v>-61860.874844435835</v>
      </c>
      <c r="G41" s="15">
        <f>IF('Proforma (monthly)'!F42=0,0,'Proforma (monthly)'!J42/'Proforma (monthly)'!F42)</f>
        <v>-0.19988808249542975</v>
      </c>
    </row>
    <row r="42" spans="1:7" x14ac:dyDescent="0.25">
      <c r="A42" s="51">
        <v>38</v>
      </c>
      <c r="B42" s="14">
        <f>'Proforma (monthly)'!F43</f>
        <v>334764.43112500006</v>
      </c>
      <c r="C42" s="14">
        <f>'Proforma (monthly)'!H43</f>
        <v>94959.81828841145</v>
      </c>
      <c r="D42" s="14">
        <f>'Proforma (monthly)'!F43-'Proforma (monthly)'!H43</f>
        <v>239804.61283658861</v>
      </c>
      <c r="E42" s="14">
        <f>'Proforma (monthly)'!I43</f>
        <v>278514.48395207484</v>
      </c>
      <c r="F42" s="14">
        <f>'Proforma (monthly)'!J43</f>
        <v>-38709.871115486225</v>
      </c>
      <c r="G42" s="15">
        <f>IF('Proforma (monthly)'!F43=0,0,'Proforma (monthly)'!J43/'Proforma (monthly)'!F43)</f>
        <v>-0.11563316623991057</v>
      </c>
    </row>
    <row r="43" spans="1:7" x14ac:dyDescent="0.25">
      <c r="A43" s="51">
        <v>39</v>
      </c>
      <c r="B43" s="14">
        <f>'Proforma (monthly)'!F44</f>
        <v>365018.53225000005</v>
      </c>
      <c r="C43" s="14">
        <f>'Proforma (monthly)'!H44</f>
        <v>103181.52649001736</v>
      </c>
      <c r="D43" s="14">
        <f>'Proforma (monthly)'!F44-'Proforma (monthly)'!H44</f>
        <v>261837.00575998268</v>
      </c>
      <c r="E43" s="14">
        <f>'Proforma (monthly)'!I44</f>
        <v>278514.48395207484</v>
      </c>
      <c r="F43" s="14">
        <f>'Proforma (monthly)'!J44</f>
        <v>-16677.478192092152</v>
      </c>
      <c r="G43" s="15">
        <f>IF('Proforma (monthly)'!F44=0,0,'Proforma (monthly)'!J44/'Proforma (monthly)'!F44)</f>
        <v>-4.5689401273110705E-2</v>
      </c>
    </row>
    <row r="44" spans="1:7" x14ac:dyDescent="0.25">
      <c r="A44" s="51">
        <v>40</v>
      </c>
      <c r="B44" s="14">
        <f>'Proforma (monthly)'!F45</f>
        <v>395688.71687500004</v>
      </c>
      <c r="C44" s="14">
        <f>'Proforma (monthly)'!H45</f>
        <v>105773.52128797743</v>
      </c>
      <c r="D44" s="14">
        <f>'Proforma (monthly)'!F45-'Proforma (monthly)'!H45</f>
        <v>289915.19558702258</v>
      </c>
      <c r="E44" s="14">
        <f>'Proforma (monthly)'!I45</f>
        <v>278514.48395207484</v>
      </c>
      <c r="F44" s="14">
        <f>'Proforma (monthly)'!J45</f>
        <v>11400.711634947744</v>
      </c>
      <c r="G44" s="15">
        <f>IF('Proforma (monthly)'!F45=0,0,'Proforma (monthly)'!J45/'Proforma (monthly)'!F45)</f>
        <v>2.8812324306303844E-2</v>
      </c>
    </row>
    <row r="45" spans="1:7" x14ac:dyDescent="0.25">
      <c r="A45" s="51">
        <v>41</v>
      </c>
      <c r="B45" s="14">
        <f>'Proforma (monthly)'!F46</f>
        <v>426774.98499999999</v>
      </c>
      <c r="C45" s="14">
        <f>'Proforma (monthly)'!H46</f>
        <v>109902.46934895832</v>
      </c>
      <c r="D45" s="14">
        <f>'Proforma (monthly)'!F46-'Proforma (monthly)'!H46</f>
        <v>316872.51565104164</v>
      </c>
      <c r="E45" s="14">
        <f>'Proforma (monthly)'!I46</f>
        <v>278514.48395207484</v>
      </c>
      <c r="F45" s="14">
        <f>'Proforma (monthly)'!J46</f>
        <v>38358.031698966806</v>
      </c>
      <c r="G45" s="15">
        <f>IF('Proforma (monthly)'!F46=0,0,'Proforma (monthly)'!J46/'Proforma (monthly)'!F46)</f>
        <v>8.9878819160328263E-2</v>
      </c>
    </row>
    <row r="46" spans="1:7" x14ac:dyDescent="0.25">
      <c r="A46" s="51">
        <v>42</v>
      </c>
      <c r="B46" s="14">
        <f>'Proforma (monthly)'!F47</f>
        <v>463001.84525000001</v>
      </c>
      <c r="C46" s="14">
        <f>'Proforma (monthly)'!H47</f>
        <v>118632.64940842014</v>
      </c>
      <c r="D46" s="14">
        <f>'Proforma (monthly)'!F47-'Proforma (monthly)'!H47</f>
        <v>344369.19584157987</v>
      </c>
      <c r="E46" s="14">
        <f>'Proforma (monthly)'!I47</f>
        <v>287681.15061874146</v>
      </c>
      <c r="F46" s="14">
        <f>'Proforma (monthly)'!J47</f>
        <v>56688.045222838409</v>
      </c>
      <c r="G46" s="15">
        <f>IF('Proforma (monthly)'!F47=0,0,'Proforma (monthly)'!J47/'Proforma (monthly)'!F47)</f>
        <v>0.12243589481210261</v>
      </c>
    </row>
    <row r="47" spans="1:7" x14ac:dyDescent="0.25">
      <c r="A47" s="51">
        <v>43</v>
      </c>
      <c r="B47" s="14">
        <f>'Proforma (monthly)'!F48</f>
        <v>499714.13624999998</v>
      </c>
      <c r="C47" s="14">
        <f>'Proforma (monthly)'!H48</f>
        <v>121739.27494140624</v>
      </c>
      <c r="D47" s="14">
        <f>'Proforma (monthly)'!F48-'Proforma (monthly)'!H48</f>
        <v>377974.86130859377</v>
      </c>
      <c r="E47" s="14">
        <f>'Proforma (monthly)'!I48</f>
        <v>289514.48395207484</v>
      </c>
      <c r="F47" s="14">
        <f>'Proforma (monthly)'!J48</f>
        <v>88460.377356518933</v>
      </c>
      <c r="G47" s="15">
        <f>IF('Proforma (monthly)'!F48=0,0,'Proforma (monthly)'!J48/'Proforma (monthly)'!F48)</f>
        <v>0.17702196303741036</v>
      </c>
    </row>
    <row r="48" spans="1:7" x14ac:dyDescent="0.25">
      <c r="A48" s="51">
        <v>44</v>
      </c>
      <c r="B48" s="14">
        <f>'Proforma (monthly)'!F49</f>
        <v>541705.71387500002</v>
      </c>
      <c r="C48" s="14">
        <f>'Proforma (monthly)'!H49</f>
        <v>125292.78356054687</v>
      </c>
      <c r="D48" s="14">
        <f>'Proforma (monthly)'!F49-'Proforma (monthly)'!H49</f>
        <v>416412.93031445314</v>
      </c>
      <c r="E48" s="14">
        <f>'Proforma (monthly)'!I49</f>
        <v>301181.15061874146</v>
      </c>
      <c r="F48" s="14">
        <f>'Proforma (monthly)'!J49</f>
        <v>115231.77969571168</v>
      </c>
      <c r="G48" s="15">
        <f>IF('Proforma (monthly)'!F49=0,0,'Proforma (monthly)'!J49/'Proforma (monthly)'!F49)</f>
        <v>0.21272025888636226</v>
      </c>
    </row>
    <row r="49" spans="1:7" x14ac:dyDescent="0.25">
      <c r="A49" s="51">
        <v>45</v>
      </c>
      <c r="B49" s="14">
        <f>'Proforma (monthly)'!F50</f>
        <v>589080.59900000005</v>
      </c>
      <c r="C49" s="14">
        <f>'Proforma (monthly)'!H50</f>
        <v>139969.0802482639</v>
      </c>
      <c r="D49" s="14">
        <f>'Proforma (monthly)'!F50-'Proforma (monthly)'!H50</f>
        <v>449111.51875173615</v>
      </c>
      <c r="E49" s="14">
        <f>'Proforma (monthly)'!I50</f>
        <v>301181.15061874146</v>
      </c>
      <c r="F49" s="14">
        <f>'Proforma (monthly)'!J50</f>
        <v>147930.36813299468</v>
      </c>
      <c r="G49" s="15">
        <f>IF('Proforma (monthly)'!F50=0,0,'Proforma (monthly)'!J50/'Proforma (monthly)'!F50)</f>
        <v>0.25112076069745876</v>
      </c>
    </row>
    <row r="50" spans="1:7" x14ac:dyDescent="0.25">
      <c r="A50" s="51">
        <v>46</v>
      </c>
      <c r="B50" s="14">
        <f>'Proforma (monthly)'!F51</f>
        <v>637079.609375</v>
      </c>
      <c r="C50" s="14">
        <f>'Proforma (monthly)'!H51</f>
        <v>144034.1401638455</v>
      </c>
      <c r="D50" s="14">
        <f>'Proforma (monthly)'!F51-'Proforma (monthly)'!H51</f>
        <v>493045.4692111545</v>
      </c>
      <c r="E50" s="14">
        <f>'Proforma (monthly)'!I51</f>
        <v>301181.15061874146</v>
      </c>
      <c r="F50" s="14">
        <f>'Proforma (monthly)'!J51</f>
        <v>191864.31859241304</v>
      </c>
      <c r="G50" s="15">
        <f>IF('Proforma (monthly)'!F51=0,0,'Proforma (monthly)'!J51/'Proforma (monthly)'!F51)</f>
        <v>0.30116223430952282</v>
      </c>
    </row>
    <row r="51" spans="1:7" x14ac:dyDescent="0.25">
      <c r="A51" s="51">
        <v>47</v>
      </c>
      <c r="B51" s="14">
        <f>'Proforma (monthly)'!F52</f>
        <v>690600.62175000005</v>
      </c>
      <c r="C51" s="14">
        <f>'Proforma (monthly)'!H52</f>
        <v>154234.30590234374</v>
      </c>
      <c r="D51" s="14">
        <f>'Proforma (monthly)'!F52-'Proforma (monthly)'!H52</f>
        <v>536366.31584765634</v>
      </c>
      <c r="E51" s="14">
        <f>'Proforma (monthly)'!I52</f>
        <v>301181.15061874146</v>
      </c>
      <c r="F51" s="14">
        <f>'Proforma (monthly)'!J52</f>
        <v>235185.16522891488</v>
      </c>
      <c r="G51" s="15">
        <f>IF('Proforma (monthly)'!F52=0,0,'Proforma (monthly)'!J52/'Proforma (monthly)'!F52)</f>
        <v>0.34055162683310292</v>
      </c>
    </row>
    <row r="52" spans="1:7" x14ac:dyDescent="0.25">
      <c r="A52" s="51">
        <v>48</v>
      </c>
      <c r="B52" s="14">
        <f>'Proforma (monthly)'!F53</f>
        <v>744477.26600000006</v>
      </c>
      <c r="C52" s="14">
        <f>'Proforma (monthly)'!H53</f>
        <v>173360.74111458333</v>
      </c>
      <c r="D52" s="14">
        <f>'Proforma (monthly)'!F53-'Proforma (monthly)'!H53</f>
        <v>571116.52488541673</v>
      </c>
      <c r="E52" s="14">
        <f>'Proforma (monthly)'!I53</f>
        <v>301181.15061874146</v>
      </c>
      <c r="F52" s="14">
        <f>'Proforma (monthly)'!J53</f>
        <v>269935.37426667527</v>
      </c>
      <c r="G52" s="15">
        <f>IF('Proforma (monthly)'!F53=0,0,'Proforma (monthly)'!J53/'Proforma (monthly)'!F53)</f>
        <v>0.36258377064622849</v>
      </c>
    </row>
    <row r="53" spans="1:7" x14ac:dyDescent="0.25">
      <c r="A53" s="51">
        <v>49</v>
      </c>
      <c r="B53" s="14">
        <f>'Proforma (monthly)'!F54</f>
        <v>798353.91025000007</v>
      </c>
      <c r="C53" s="14">
        <f>'Proforma (monthly)'!H54</f>
        <v>183570.50966015624</v>
      </c>
      <c r="D53" s="14">
        <f>'Proforma (monthly)'!F54-'Proforma (monthly)'!H54</f>
        <v>614783.40058984386</v>
      </c>
      <c r="E53" s="14">
        <f>'Proforma (monthly)'!I54</f>
        <v>331367.84361250809</v>
      </c>
      <c r="F53" s="14">
        <f>'Proforma (monthly)'!J54</f>
        <v>283415.55697733577</v>
      </c>
      <c r="G53" s="15">
        <f>IF('Proforma (monthly)'!F54=0,0,'Proforma (monthly)'!J54/'Proforma (monthly)'!F54)</f>
        <v>0.35499989833905338</v>
      </c>
    </row>
    <row r="54" spans="1:7" x14ac:dyDescent="0.25">
      <c r="A54" s="51">
        <v>50</v>
      </c>
      <c r="B54" s="14">
        <f>'Proforma (monthly)'!F55</f>
        <v>857128.43125000002</v>
      </c>
      <c r="C54" s="14">
        <f>'Proforma (monthly)'!H55</f>
        <v>188526.62080078124</v>
      </c>
      <c r="D54" s="14">
        <f>'Proforma (monthly)'!F55-'Proforma (monthly)'!H55</f>
        <v>668601.81044921884</v>
      </c>
      <c r="E54" s="14">
        <f>'Proforma (monthly)'!I55</f>
        <v>331367.84361250809</v>
      </c>
      <c r="F54" s="14">
        <f>'Proforma (monthly)'!J55</f>
        <v>337233.96683671075</v>
      </c>
      <c r="G54" s="15">
        <f>IF('Proforma (monthly)'!F55=0,0,'Proforma (monthly)'!J55/'Proforma (monthly)'!F55)</f>
        <v>0.39344624975851394</v>
      </c>
    </row>
    <row r="55" spans="1:7" x14ac:dyDescent="0.25">
      <c r="A55" s="51">
        <v>51</v>
      </c>
      <c r="B55" s="14">
        <f>'Proforma (monthly)'!F56</f>
        <v>920800.82900000003</v>
      </c>
      <c r="C55" s="14">
        <f>'Proforma (monthly)'!H56</f>
        <v>204562.40786979167</v>
      </c>
      <c r="D55" s="14">
        <f>'Proforma (monthly)'!F56-'Proforma (monthly)'!H56</f>
        <v>716238.4211302083</v>
      </c>
      <c r="E55" s="14">
        <f>'Proforma (monthly)'!I56</f>
        <v>331367.84361250809</v>
      </c>
      <c r="F55" s="14">
        <f>'Proforma (monthly)'!J56</f>
        <v>384870.57751770021</v>
      </c>
      <c r="G55" s="15">
        <f>IF('Proforma (monthly)'!F56=0,0,'Proforma (monthly)'!J56/'Proforma (monthly)'!F56)</f>
        <v>0.4179737521909857</v>
      </c>
    </row>
    <row r="56" spans="1:7" x14ac:dyDescent="0.25">
      <c r="A56" s="51">
        <v>52</v>
      </c>
      <c r="B56" s="14">
        <f>'Proforma (monthly)'!F57</f>
        <v>994268.98025000002</v>
      </c>
      <c r="C56" s="14">
        <f>'Proforma (monthly)'!H57</f>
        <v>224340.88012890628</v>
      </c>
      <c r="D56" s="14">
        <f>'Proforma (monthly)'!F57-'Proforma (monthly)'!H57</f>
        <v>769928.10012109368</v>
      </c>
      <c r="E56" s="14">
        <f>'Proforma (monthly)'!I57</f>
        <v>342367.84361250809</v>
      </c>
      <c r="F56" s="14">
        <f>'Proforma (monthly)'!J57</f>
        <v>427560.25650858559</v>
      </c>
      <c r="G56" s="15">
        <f>IF('Proforma (monthly)'!F57=0,0,'Proforma (monthly)'!J57/'Proforma (monthly)'!F57)</f>
        <v>0.43002473676799147</v>
      </c>
    </row>
    <row r="57" spans="1:7" x14ac:dyDescent="0.25">
      <c r="A57" s="51">
        <v>53</v>
      </c>
      <c r="B57" s="14">
        <f>'Proforma (monthly)'!F58</f>
        <v>1067737.1315000001</v>
      </c>
      <c r="C57" s="14">
        <f>'Proforma (monthly)'!H58</f>
        <v>249336.01905468752</v>
      </c>
      <c r="D57" s="14">
        <f>'Proforma (monthly)'!F58-'Proforma (monthly)'!H58</f>
        <v>818401.11244531255</v>
      </c>
      <c r="E57" s="14">
        <f>'Proforma (monthly)'!I58</f>
        <v>363534.51027917478</v>
      </c>
      <c r="F57" s="14">
        <f>'Proforma (monthly)'!J58</f>
        <v>454866.60216613777</v>
      </c>
      <c r="G57" s="15">
        <f>IF('Proforma (monthly)'!F58=0,0,'Proforma (monthly)'!J58/'Proforma (monthly)'!F58)</f>
        <v>0.42600991268995475</v>
      </c>
    </row>
    <row r="58" spans="1:7" x14ac:dyDescent="0.25">
      <c r="A58" s="51">
        <v>54</v>
      </c>
      <c r="B58" s="14">
        <f>'Proforma (monthly)'!F59</f>
        <v>1146103.1595000001</v>
      </c>
      <c r="C58" s="14">
        <f>'Proforma (monthly)'!H59</f>
        <v>262744.16724218754</v>
      </c>
      <c r="D58" s="14">
        <f>'Proforma (monthly)'!F59-'Proforma (monthly)'!H59</f>
        <v>883358.99225781253</v>
      </c>
      <c r="E58" s="14">
        <f>'Proforma (monthly)'!I59</f>
        <v>374534.51027917478</v>
      </c>
      <c r="F58" s="14">
        <f>'Proforma (monthly)'!J59</f>
        <v>508824.48197863775</v>
      </c>
      <c r="G58" s="15">
        <f>IF('Proforma (monthly)'!F59=0,0,'Proforma (monthly)'!J59/'Proforma (monthly)'!F59)</f>
        <v>0.44396045657933442</v>
      </c>
    </row>
    <row r="59" spans="1:7" x14ac:dyDescent="0.25">
      <c r="A59" s="51">
        <v>55</v>
      </c>
      <c r="B59" s="14">
        <f>'Proforma (monthly)'!F60</f>
        <v>1234264.9410000001</v>
      </c>
      <c r="C59" s="14">
        <f>'Proforma (monthly)'!H60</f>
        <v>286978.33395312505</v>
      </c>
      <c r="D59" s="14">
        <f>'Proforma (monthly)'!F60-'Proforma (monthly)'!H60</f>
        <v>947286.60704687505</v>
      </c>
      <c r="E59" s="14">
        <f>'Proforma (monthly)'!I60</f>
        <v>374534.51027917478</v>
      </c>
      <c r="F59" s="14">
        <f>'Proforma (monthly)'!J60</f>
        <v>572752.09676770028</v>
      </c>
      <c r="G59" s="15">
        <f>IF('Proforma (monthly)'!F60=0,0,'Proforma (monthly)'!J60/'Proforma (monthly)'!F60)</f>
        <v>0.46404307352654539</v>
      </c>
    </row>
    <row r="60" spans="1:7" x14ac:dyDescent="0.25">
      <c r="A60" s="51">
        <v>56</v>
      </c>
      <c r="B60" s="14">
        <f>'Proforma (monthly)'!F61</f>
        <v>1327324.5992500002</v>
      </c>
      <c r="C60" s="14">
        <f>'Proforma (monthly)'!H61</f>
        <v>301625.50992578128</v>
      </c>
      <c r="D60" s="14">
        <f>'Proforma (monthly)'!F61-'Proforma (monthly)'!H61</f>
        <v>1025699.0893242189</v>
      </c>
      <c r="E60" s="14">
        <f>'Proforma (monthly)'!I61</f>
        <v>374534.51027917478</v>
      </c>
      <c r="F60" s="14">
        <f>'Proforma (monthly)'!J61</f>
        <v>651164.57904504414</v>
      </c>
      <c r="G60" s="15">
        <f>IF('Proforma (monthly)'!F61=0,0,'Proforma (monthly)'!J61/'Proforma (monthly)'!F61)</f>
        <v>0.49058427713385427</v>
      </c>
    </row>
    <row r="61" spans="1:7" x14ac:dyDescent="0.25">
      <c r="A61" s="51">
        <v>57</v>
      </c>
      <c r="B61" s="14">
        <f>'Proforma (monthly)'!F62</f>
        <v>1425282.1342500001</v>
      </c>
      <c r="C61" s="14">
        <f>'Proforma (monthly)'!H62</f>
        <v>328352.36182682292</v>
      </c>
      <c r="D61" s="14">
        <f>'Proforma (monthly)'!F62-'Proforma (monthly)'!H62</f>
        <v>1096929.7724231773</v>
      </c>
      <c r="E61" s="14">
        <f>'Proforma (monthly)'!I62</f>
        <v>381534.51027917478</v>
      </c>
      <c r="F61" s="14">
        <f>'Proforma (monthly)'!J62</f>
        <v>715395.26214400248</v>
      </c>
      <c r="G61" s="15">
        <f>IF('Proforma (monthly)'!F62=0,0,'Proforma (monthly)'!J62/'Proforma (monthly)'!F62)</f>
        <v>0.50193238584334865</v>
      </c>
    </row>
    <row r="62" spans="1:7" x14ac:dyDescent="0.25">
      <c r="A62" s="51">
        <v>58</v>
      </c>
      <c r="B62" s="14">
        <f>'Proforma (monthly)'!F63</f>
        <v>1533035.4227500001</v>
      </c>
      <c r="C62" s="14">
        <f>'Proforma (monthly)'!H63</f>
        <v>367738.56558463542</v>
      </c>
      <c r="D62" s="14">
        <f>'Proforma (monthly)'!F63-'Proforma (monthly)'!H63</f>
        <v>1165296.8571653648</v>
      </c>
      <c r="E62" s="14">
        <f>'Proforma (monthly)'!I63</f>
        <v>383867.84361250809</v>
      </c>
      <c r="F62" s="14">
        <f>'Proforma (monthly)'!J63</f>
        <v>781429.01355285663</v>
      </c>
      <c r="G62" s="15">
        <f>IF('Proforma (monthly)'!F63=0,0,'Proforma (monthly)'!J63/'Proforma (monthly)'!F63)</f>
        <v>0.50972665207638079</v>
      </c>
    </row>
    <row r="63" spans="1:7" x14ac:dyDescent="0.25">
      <c r="A63" s="51">
        <v>59</v>
      </c>
      <c r="B63" s="14">
        <f>'Proforma (monthly)'!F64</f>
        <v>1650584.46475</v>
      </c>
      <c r="C63" s="14">
        <f>'Proforma (monthly)'!H64</f>
        <v>377650.78786588542</v>
      </c>
      <c r="D63" s="14">
        <f>'Proforma (monthly)'!F64-'Proforma (monthly)'!H64</f>
        <v>1272933.6768841147</v>
      </c>
      <c r="E63" s="14">
        <f>'Proforma (monthly)'!I64</f>
        <v>397867.84361250809</v>
      </c>
      <c r="F63" s="14">
        <f>'Proforma (monthly)'!J64</f>
        <v>875065.83327160659</v>
      </c>
      <c r="G63" s="15">
        <f>IF('Proforma (monthly)'!F64=0,0,'Proforma (monthly)'!J64/'Proforma (monthly)'!F64)</f>
        <v>0.5301551371405554</v>
      </c>
    </row>
    <row r="64" spans="1:7" x14ac:dyDescent="0.25">
      <c r="A64" s="51">
        <v>60</v>
      </c>
      <c r="B64" s="14">
        <f>'Proforma (monthly)'!F65</f>
        <v>1773031.3835000002</v>
      </c>
      <c r="C64" s="14">
        <f>'Proforma (monthly)'!H65</f>
        <v>407576.01940885419</v>
      </c>
      <c r="D64" s="14">
        <f>'Proforma (monthly)'!F65-'Proforma (monthly)'!H65</f>
        <v>1365455.364091146</v>
      </c>
      <c r="E64" s="14">
        <f>'Proforma (monthly)'!I65</f>
        <v>415867.84361250809</v>
      </c>
      <c r="F64" s="14">
        <f>'Proforma (monthly)'!J65</f>
        <v>949587.52047863789</v>
      </c>
      <c r="G64" s="15">
        <f>IF('Proforma (monthly)'!F65=0,0,'Proforma (monthly)'!J65/'Proforma (monthly)'!F65)</f>
        <v>0.53557287779313456</v>
      </c>
    </row>
    <row r="65" spans="1:7" x14ac:dyDescent="0.25">
      <c r="A65" s="51">
        <v>61</v>
      </c>
      <c r="B65" s="14">
        <f>'Proforma (monthly)'!F66</f>
        <v>1905274.0557500001</v>
      </c>
      <c r="C65" s="14">
        <f>'Proforma (monthly)'!H66</f>
        <v>425527.2694752604</v>
      </c>
      <c r="D65" s="14">
        <f>'Proforma (monthly)'!F66-'Proforma (monthly)'!H66</f>
        <v>1479746.7862747395</v>
      </c>
      <c r="E65" s="14">
        <f>'Proforma (monthly)'!I66</f>
        <v>460142.6662264656</v>
      </c>
      <c r="F65" s="14">
        <f>'Proforma (monthly)'!J66</f>
        <v>1019604.1200482739</v>
      </c>
      <c r="G65" s="15">
        <f>IF('Proforma (monthly)'!F66=0,0,'Proforma (monthly)'!J66/'Proforma (monthly)'!F66)</f>
        <v>0.53514827274909416</v>
      </c>
    </row>
    <row r="66" spans="1:7" x14ac:dyDescent="0.25">
      <c r="A66" s="51">
        <v>62</v>
      </c>
      <c r="B66" s="14">
        <f>'Proforma (monthly)'!F67</f>
        <v>2052210.35825</v>
      </c>
      <c r="C66" s="14">
        <f>'Proforma (monthly)'!H67</f>
        <v>454217.54732682288</v>
      </c>
      <c r="D66" s="14">
        <f>'Proforma (monthly)'!F67-'Proforma (monthly)'!H67</f>
        <v>1597992.8109231773</v>
      </c>
      <c r="E66" s="14">
        <f>'Proforma (monthly)'!I67</f>
        <v>460142.6662264656</v>
      </c>
      <c r="F66" s="14">
        <f>'Proforma (monthly)'!J67</f>
        <v>1137850.1446967116</v>
      </c>
      <c r="G66" s="15">
        <f>IF('Proforma (monthly)'!F67=0,0,'Proforma (monthly)'!J67/'Proforma (monthly)'!F67)</f>
        <v>0.55445102892229858</v>
      </c>
    </row>
    <row r="67" spans="1:7" x14ac:dyDescent="0.25">
      <c r="A67" s="51">
        <v>63</v>
      </c>
      <c r="B67" s="14">
        <f>'Proforma (monthly)'!F68</f>
        <v>2204044.5375000001</v>
      </c>
      <c r="C67" s="14">
        <f>'Proforma (monthly)'!H68</f>
        <v>486620.83444010414</v>
      </c>
      <c r="D67" s="14">
        <f>'Proforma (monthly)'!F68-'Proforma (monthly)'!H68</f>
        <v>1717423.7030598959</v>
      </c>
      <c r="E67" s="14">
        <f>'Proforma (monthly)'!I68</f>
        <v>481142.6662264656</v>
      </c>
      <c r="F67" s="14">
        <f>'Proforma (monthly)'!J68</f>
        <v>1236281.0368334302</v>
      </c>
      <c r="G67" s="15">
        <f>IF('Proforma (monthly)'!F68=0,0,'Proforma (monthly)'!J68/'Proforma (monthly)'!F68)</f>
        <v>0.56091472554167032</v>
      </c>
    </row>
    <row r="68" spans="1:7" x14ac:dyDescent="0.25">
      <c r="A68" s="51">
        <v>64</v>
      </c>
      <c r="B68" s="14">
        <f>'Proforma (monthly)'!F69</f>
        <v>2370572.3470000001</v>
      </c>
      <c r="C68" s="14">
        <f>'Proforma (monthly)'!H69</f>
        <v>530963.14933854167</v>
      </c>
      <c r="D68" s="14">
        <f>'Proforma (monthly)'!F69-'Proforma (monthly)'!H69</f>
        <v>1839609.1976614585</v>
      </c>
      <c r="E68" s="14">
        <f>'Proforma (monthly)'!I69</f>
        <v>481142.6662264656</v>
      </c>
      <c r="F68" s="14">
        <f>'Proforma (monthly)'!J69</f>
        <v>1358466.5314349928</v>
      </c>
      <c r="G68" s="15">
        <f>IF('Proforma (monthly)'!F69=0,0,'Proforma (monthly)'!J69/'Proforma (monthly)'!F69)</f>
        <v>0.57305423863319571</v>
      </c>
    </row>
    <row r="69" spans="1:7" x14ac:dyDescent="0.25">
      <c r="A69" s="51">
        <v>65</v>
      </c>
      <c r="B69" s="14">
        <f>'Proforma (monthly)'!F70</f>
        <v>2551793.78675</v>
      </c>
      <c r="C69" s="14">
        <f>'Proforma (monthly)'!H70</f>
        <v>559844.49202213541</v>
      </c>
      <c r="D69" s="14">
        <f>'Proforma (monthly)'!F70-'Proforma (monthly)'!H70</f>
        <v>1991949.2947278647</v>
      </c>
      <c r="E69" s="14">
        <f>'Proforma (monthly)'!I70</f>
        <v>481142.6662264656</v>
      </c>
      <c r="F69" s="14">
        <f>'Proforma (monthly)'!J70</f>
        <v>1510806.628501399</v>
      </c>
      <c r="G69" s="15">
        <f>IF('Proforma (monthly)'!F70=0,0,'Proforma (monthly)'!J70/'Proforma (monthly)'!F70)</f>
        <v>0.59205670785239406</v>
      </c>
    </row>
    <row r="70" spans="1:7" x14ac:dyDescent="0.25">
      <c r="A70" s="51">
        <v>66</v>
      </c>
      <c r="B70" s="14">
        <f>'Proforma (monthly)'!F71</f>
        <v>2742810.98</v>
      </c>
      <c r="C70" s="14">
        <f>'Proforma (monthly)'!H71</f>
        <v>595551.85322916671</v>
      </c>
      <c r="D70" s="14">
        <f>'Proforma (monthly)'!F71-'Proforma (monthly)'!H71</f>
        <v>2147259.1267708335</v>
      </c>
      <c r="E70" s="14">
        <f>'Proforma (monthly)'!I71</f>
        <v>506142.6662264656</v>
      </c>
      <c r="F70" s="14">
        <f>'Proforma (monthly)'!J71</f>
        <v>1641116.4605443678</v>
      </c>
      <c r="G70" s="15">
        <f>IF('Proforma (monthly)'!F71=0,0,'Proforma (monthly)'!J71/'Proforma (monthly)'!F71)</f>
        <v>0.59833377965563195</v>
      </c>
    </row>
    <row r="71" spans="1:7" x14ac:dyDescent="0.25">
      <c r="A71" s="51">
        <v>67</v>
      </c>
      <c r="B71" s="14">
        <f>'Proforma (monthly)'!F72</f>
        <v>2948521.8035000004</v>
      </c>
      <c r="C71" s="14">
        <f>'Proforma (monthly)'!H72</f>
        <v>668498.24222135416</v>
      </c>
      <c r="D71" s="14">
        <f>'Proforma (monthly)'!F72-'Proforma (monthly)'!H72</f>
        <v>2280023.5612786463</v>
      </c>
      <c r="E71" s="14">
        <f>'Proforma (monthly)'!I72</f>
        <v>506142.6662264656</v>
      </c>
      <c r="F71" s="14">
        <f>'Proforma (monthly)'!J72</f>
        <v>1773880.8950521806</v>
      </c>
      <c r="G71" s="15">
        <f>IF('Proforma (monthly)'!F72=0,0,'Proforma (monthly)'!J72/'Proforma (monthly)'!F72)</f>
        <v>0.60161701804155587</v>
      </c>
    </row>
    <row r="72" spans="1:7" x14ac:dyDescent="0.25">
      <c r="A72" s="51">
        <v>68</v>
      </c>
      <c r="B72" s="14">
        <f>'Proforma (monthly)'!F73</f>
        <v>3168926.2572500003</v>
      </c>
      <c r="C72" s="14">
        <f>'Proforma (monthly)'!H73</f>
        <v>700683.658998698</v>
      </c>
      <c r="D72" s="14">
        <f>'Proforma (monthly)'!F73-'Proforma (monthly)'!H73</f>
        <v>2468242.5982513023</v>
      </c>
      <c r="E72" s="14">
        <f>'Proforma (monthly)'!I73</f>
        <v>527142.6662264656</v>
      </c>
      <c r="F72" s="14">
        <f>'Proforma (monthly)'!J73</f>
        <v>1941099.9320248365</v>
      </c>
      <c r="G72" s="15">
        <f>IF('Proforma (monthly)'!F73=0,0,'Proforma (monthly)'!J73/'Proforma (monthly)'!F73)</f>
        <v>0.61254184365568876</v>
      </c>
    </row>
    <row r="73" spans="1:7" x14ac:dyDescent="0.25">
      <c r="A73" s="51">
        <v>69</v>
      </c>
      <c r="B73" s="14">
        <f>'Proforma (monthly)'!F74</f>
        <v>3408922.2180000003</v>
      </c>
      <c r="C73" s="14">
        <f>'Proforma (monthly)'!H74</f>
        <v>740521.11282291659</v>
      </c>
      <c r="D73" s="14">
        <f>'Proforma (monthly)'!F74-'Proforma (monthly)'!H74</f>
        <v>2668401.105177084</v>
      </c>
      <c r="E73" s="14">
        <f>'Proforma (monthly)'!I74</f>
        <v>527142.6662264656</v>
      </c>
      <c r="F73" s="14">
        <f>'Proforma (monthly)'!J74</f>
        <v>2141258.4389506183</v>
      </c>
      <c r="G73" s="15">
        <f>IF('Proforma (monthly)'!F74=0,0,'Proforma (monthly)'!J74/'Proforma (monthly)'!F74)</f>
        <v>0.62813355718244734</v>
      </c>
    </row>
    <row r="74" spans="1:7" x14ac:dyDescent="0.25">
      <c r="A74" s="51">
        <v>70</v>
      </c>
      <c r="B74" s="14">
        <f>'Proforma (monthly)'!F75</f>
        <v>3668509.6857500002</v>
      </c>
      <c r="C74" s="14">
        <f>'Proforma (monthly)'!H75</f>
        <v>788810.60369401053</v>
      </c>
      <c r="D74" s="14">
        <f>'Proforma (monthly)'!F75-'Proforma (monthly)'!H75</f>
        <v>2879699.0820559897</v>
      </c>
      <c r="E74" s="14">
        <f>'Proforma (monthly)'!I75</f>
        <v>527142.6662264656</v>
      </c>
      <c r="F74" s="14">
        <f>'Proforma (monthly)'!J75</f>
        <v>2352556.4158295239</v>
      </c>
      <c r="G74" s="15">
        <f>IF('Proforma (monthly)'!F75=0,0,'Proforma (monthly)'!J75/'Proforma (monthly)'!F75)</f>
        <v>0.64128395925130588</v>
      </c>
    </row>
    <row r="75" spans="1:7" x14ac:dyDescent="0.25">
      <c r="A75" s="51">
        <v>71</v>
      </c>
      <c r="B75" s="14">
        <f>'Proforma (monthly)'!F76</f>
        <v>3942790.7837500004</v>
      </c>
      <c r="C75" s="14">
        <f>'Proforma (monthly)'!H76</f>
        <v>858539.12235026038</v>
      </c>
      <c r="D75" s="14">
        <f>'Proforma (monthly)'!F76-'Proforma (monthly)'!H76</f>
        <v>3084251.6613997398</v>
      </c>
      <c r="E75" s="14">
        <f>'Proforma (monthly)'!I76</f>
        <v>541142.6662264656</v>
      </c>
      <c r="F75" s="14">
        <f>'Proforma (monthly)'!J76</f>
        <v>2543108.9951732741</v>
      </c>
      <c r="G75" s="15">
        <f>IF('Proforma (monthly)'!F76=0,0,'Proforma (monthly)'!J76/'Proforma (monthly)'!F76)</f>
        <v>0.6450022673418434</v>
      </c>
    </row>
    <row r="76" spans="1:7" x14ac:dyDescent="0.25">
      <c r="A76" s="51">
        <v>72</v>
      </c>
      <c r="B76" s="14">
        <f>'Proforma (monthly)'!F77</f>
        <v>4241561.2655000007</v>
      </c>
      <c r="C76" s="14">
        <f>'Proforma (monthly)'!H77</f>
        <v>919132.68731510418</v>
      </c>
      <c r="D76" s="14">
        <f>'Proforma (monthly)'!F77-'Proforma (monthly)'!H77</f>
        <v>3322428.5781848966</v>
      </c>
      <c r="E76" s="14">
        <f>'Proforma (monthly)'!I77</f>
        <v>562142.6662264656</v>
      </c>
      <c r="F76" s="14">
        <f>'Proforma (monthly)'!J77</f>
        <v>2760285.9119584309</v>
      </c>
      <c r="G76" s="15">
        <f>IF('Proforma (monthly)'!F77=0,0,'Proforma (monthly)'!J77/'Proforma (monthly)'!F77)</f>
        <v>0.65077119937180605</v>
      </c>
    </row>
  </sheetData>
  <mergeCells count="2">
    <mergeCell ref="A2:G2"/>
    <mergeCell ref="A1:G1"/>
  </mergeCells>
  <conditionalFormatting sqref="A1:G76">
    <cfRule type="expression" dxfId="69" priority="1">
      <formula>_xludf.ISFORMULA(A1)</formula>
    </cfRule>
    <cfRule type="expression" dxfId="6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2E7D32"/>
  </sheetPr>
  <dimension ref="A1:G11"/>
  <sheetViews>
    <sheetView showGridLines="0" workbookViewId="0"/>
  </sheetViews>
  <sheetFormatPr defaultRowHeight="15" x14ac:dyDescent="0.25"/>
  <cols>
    <col min="1" max="1" width="14" bestFit="1" customWidth="1"/>
    <col min="2" max="2" width="10.140625" bestFit="1" customWidth="1"/>
    <col min="3" max="4" width="10.85546875" bestFit="1" customWidth="1"/>
    <col min="5" max="5" width="10.140625" bestFit="1" customWidth="1"/>
    <col min="6" max="7" width="11.140625" bestFit="1" customWidth="1"/>
  </cols>
  <sheetData>
    <row r="1" spans="1:7" ht="30" customHeight="1" x14ac:dyDescent="0.25">
      <c r="A1" s="110" t="s">
        <v>302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303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296</v>
      </c>
      <c r="B5" s="27">
        <f>SUM('Proforma (monthly)'!F6:F17)</f>
        <v>20559.264687499999</v>
      </c>
      <c r="C5" s="27">
        <f>SUM('Proforma (monthly)'!F18:F29)</f>
        <v>646929.92383750004</v>
      </c>
      <c r="D5" s="27">
        <f>SUM('Proforma (monthly)'!F30:F41)</f>
        <v>2290780.5422500004</v>
      </c>
      <c r="E5" s="27">
        <f>SUM('Proforma (monthly)'!F42:F53)</f>
        <v>5997384.0107499994</v>
      </c>
      <c r="F5" s="27">
        <f>SUM('Proforma (monthly)'!F54:F65)</f>
        <v>14727915.387250001</v>
      </c>
      <c r="G5" s="27">
        <f>SUM('Proforma (monthly)'!F66:F77)</f>
        <v>35205938.079000004</v>
      </c>
    </row>
    <row r="6" spans="1:7" x14ac:dyDescent="0.25">
      <c r="A6" s="13" t="s">
        <v>297</v>
      </c>
      <c r="B6" s="27">
        <f>SUM('Proforma (monthly)'!H6:H17)</f>
        <v>52432.592974175343</v>
      </c>
      <c r="C6" s="27">
        <f>SUM('Proforma (monthly)'!H18:H29)</f>
        <v>179358.11695529512</v>
      </c>
      <c r="D6" s="27">
        <f>SUM('Proforma (monthly)'!H30:H41)</f>
        <v>678886.7743546007</v>
      </c>
      <c r="E6" s="27">
        <f>SUM('Proforma (monthly)'!H42:H53)</f>
        <v>1483904.2556471354</v>
      </c>
      <c r="F6" s="27">
        <f>SUM('Proforma (monthly)'!H54:H65)</f>
        <v>3383002.1833216152</v>
      </c>
      <c r="G6" s="27">
        <f>SUM('Proforma (monthly)'!H66:H77)</f>
        <v>7728910.5732343756</v>
      </c>
    </row>
    <row r="7" spans="1:7" x14ac:dyDescent="0.25">
      <c r="A7" s="18" t="s">
        <v>298</v>
      </c>
      <c r="B7" s="27">
        <f t="shared" ref="B7:G7" si="0">B5-B6</f>
        <v>-31873.328286675343</v>
      </c>
      <c r="C7" s="27">
        <f t="shared" si="0"/>
        <v>467571.80688220495</v>
      </c>
      <c r="D7" s="27">
        <f t="shared" si="0"/>
        <v>1611893.7678953996</v>
      </c>
      <c r="E7" s="27">
        <f t="shared" si="0"/>
        <v>4513479.7551028635</v>
      </c>
      <c r="F7" s="27">
        <f t="shared" si="0"/>
        <v>11344913.203928385</v>
      </c>
      <c r="G7" s="27">
        <f t="shared" si="0"/>
        <v>27477027.505765628</v>
      </c>
    </row>
    <row r="8" spans="1:7" x14ac:dyDescent="0.25">
      <c r="A8" s="13" t="s">
        <v>299</v>
      </c>
      <c r="B8" s="27">
        <f>SUM('Proforma (monthly)'!I6:I17)</f>
        <v>799166.66666666674</v>
      </c>
      <c r="C8" s="27">
        <f>SUM('Proforma (monthly)'!I18:I29)</f>
        <v>1820808.2000000002</v>
      </c>
      <c r="D8" s="27">
        <f>SUM('Proforma (monthly)'!I30:I41)</f>
        <v>2699864.0536066666</v>
      </c>
      <c r="E8" s="27">
        <f>SUM('Proforma (monthly)'!I42:I53)</f>
        <v>3475673.8074248969</v>
      </c>
      <c r="F8" s="27">
        <f>SUM('Proforma (monthly)'!I54:I65)</f>
        <v>4402747.4566834308</v>
      </c>
      <c r="G8" s="27">
        <f>SUM('Proforma (monthly)'!I66:I77)</f>
        <v>6060711.9947175868</v>
      </c>
    </row>
    <row r="9" spans="1:7" x14ac:dyDescent="0.25">
      <c r="A9" s="18" t="s">
        <v>300</v>
      </c>
      <c r="B9" s="32">
        <f>SUM('Proforma (monthly)'!J6:J17)</f>
        <v>-831039.99495334201</v>
      </c>
      <c r="C9" s="32">
        <f>SUM('Proforma (monthly)'!J18:J29)</f>
        <v>-1353236.3931177948</v>
      </c>
      <c r="D9" s="32">
        <f>SUM('Proforma (monthly)'!J30:J41)</f>
        <v>-1087970.285711267</v>
      </c>
      <c r="E9" s="32">
        <f>SUM('Proforma (monthly)'!J42:J53)</f>
        <v>1037805.9476779671</v>
      </c>
      <c r="F9" s="32">
        <f>SUM('Proforma (monthly)'!J54:J65)</f>
        <v>6942165.747244956</v>
      </c>
      <c r="G9" s="32">
        <f>SUM('Proforma (monthly)'!J66:J77)</f>
        <v>21416315.511048038</v>
      </c>
    </row>
    <row r="10" spans="1:7" x14ac:dyDescent="0.25">
      <c r="A10" s="13" t="s">
        <v>16</v>
      </c>
      <c r="B10" s="29">
        <f t="shared" ref="B10:G10" si="1">B9/B5</f>
        <v>-40.42167886765975</v>
      </c>
      <c r="C10" s="29">
        <f t="shared" si="1"/>
        <v>-2.091782035820172</v>
      </c>
      <c r="D10" s="29">
        <f t="shared" si="1"/>
        <v>-0.47493431415418985</v>
      </c>
      <c r="E10" s="29">
        <f t="shared" si="1"/>
        <v>0.17304310442982371</v>
      </c>
      <c r="F10" s="29">
        <f t="shared" si="1"/>
        <v>0.47136105583922688</v>
      </c>
      <c r="G10" s="29">
        <f t="shared" si="1"/>
        <v>0.60831543425972956</v>
      </c>
    </row>
    <row r="11" spans="1:7" x14ac:dyDescent="0.25">
      <c r="A11" s="13" t="s">
        <v>304</v>
      </c>
      <c r="B11" s="27">
        <f>'Proforma (monthly)'!K17</f>
        <v>3468960.0050466582</v>
      </c>
      <c r="C11" s="27">
        <f>'Proforma (monthly)'!K29</f>
        <v>2115723.6119288635</v>
      </c>
      <c r="D11" s="27">
        <f>'Proforma (monthly)'!K41</f>
        <v>1027753.3262175963</v>
      </c>
      <c r="E11" s="27">
        <f>'Proforma (monthly)'!K53</f>
        <v>2065559.2738955636</v>
      </c>
      <c r="F11" s="27">
        <f>'Proforma (monthly)'!K65</f>
        <v>9007725.0211405195</v>
      </c>
      <c r="G11" s="27">
        <f>'Proforma (monthly)'!K77</f>
        <v>30424040.532188557</v>
      </c>
    </row>
  </sheetData>
  <mergeCells count="2">
    <mergeCell ref="A2:G2"/>
    <mergeCell ref="A1:G1"/>
  </mergeCells>
  <conditionalFormatting sqref="A1:G11">
    <cfRule type="expression" dxfId="67" priority="1">
      <formula>_xludf.ISFORMULA(A1)</formula>
    </cfRule>
    <cfRule type="expression" dxfId="6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2E7D32"/>
  </sheetPr>
  <dimension ref="A1:G10"/>
  <sheetViews>
    <sheetView showGridLines="0" workbookViewId="0"/>
  </sheetViews>
  <sheetFormatPr defaultRowHeight="15" x14ac:dyDescent="0.25"/>
  <cols>
    <col min="1" max="1" width="16" bestFit="1" customWidth="1"/>
    <col min="2" max="2" width="9.28515625" bestFit="1" customWidth="1"/>
    <col min="3" max="5" width="10.85546875" bestFit="1" customWidth="1"/>
    <col min="6" max="7" width="11.140625" bestFit="1" customWidth="1"/>
  </cols>
  <sheetData>
    <row r="1" spans="1:7" ht="30" customHeight="1" x14ac:dyDescent="0.25">
      <c r="A1" s="110" t="s">
        <v>305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306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296</v>
      </c>
      <c r="B5" s="27">
        <f>SUM('Proforma (monthly)'!F6:F17)</f>
        <v>20559.264687499999</v>
      </c>
      <c r="C5" s="27">
        <f>SUM('Proforma (monthly)'!F18:F29)</f>
        <v>646929.92383750004</v>
      </c>
      <c r="D5" s="27">
        <f>SUM('Proforma (monthly)'!F30:F41)</f>
        <v>2290780.5422500004</v>
      </c>
      <c r="E5" s="27">
        <f>SUM('Proforma (monthly)'!F42:F53)</f>
        <v>5997384.0107499994</v>
      </c>
      <c r="F5" s="27">
        <f>SUM('Proforma (monthly)'!F54:F65)</f>
        <v>14727915.387250001</v>
      </c>
      <c r="G5" s="27">
        <f>SUM('Proforma (monthly)'!F66:F77)</f>
        <v>35205938.079000004</v>
      </c>
    </row>
    <row r="6" spans="1:7" x14ac:dyDescent="0.25">
      <c r="A6" s="13" t="s">
        <v>307</v>
      </c>
      <c r="B6" s="27">
        <f>-SUM('Proforma (monthly)'!H6:H17)</f>
        <v>-52432.592974175343</v>
      </c>
      <c r="C6" s="27">
        <f>-SUM('Proforma (monthly)'!H18:H29)</f>
        <v>-179358.11695529512</v>
      </c>
      <c r="D6" s="27">
        <f>-SUM('Proforma (monthly)'!H30:H41)</f>
        <v>-678886.7743546007</v>
      </c>
      <c r="E6" s="27">
        <f>-SUM('Proforma (monthly)'!H42:H53)</f>
        <v>-1483904.2556471354</v>
      </c>
      <c r="F6" s="27">
        <f>-SUM('Proforma (monthly)'!H54:H65)</f>
        <v>-3383002.1833216152</v>
      </c>
      <c r="G6" s="27">
        <f>-SUM('Proforma (monthly)'!H66:H77)</f>
        <v>-7728910.5732343756</v>
      </c>
    </row>
    <row r="7" spans="1:7" x14ac:dyDescent="0.25">
      <c r="A7" s="18" t="s">
        <v>298</v>
      </c>
      <c r="B7" s="32">
        <f t="shared" ref="B7:G7" si="0">B5+B6</f>
        <v>-31873.328286675343</v>
      </c>
      <c r="C7" s="32">
        <f t="shared" si="0"/>
        <v>467571.80688220495</v>
      </c>
      <c r="D7" s="32">
        <f t="shared" si="0"/>
        <v>1611893.7678953996</v>
      </c>
      <c r="E7" s="32">
        <f t="shared" si="0"/>
        <v>4513479.7551028635</v>
      </c>
      <c r="F7" s="32">
        <f t="shared" si="0"/>
        <v>11344913.203928385</v>
      </c>
      <c r="G7" s="32">
        <f t="shared" si="0"/>
        <v>27477027.505765628</v>
      </c>
    </row>
    <row r="8" spans="1:7" x14ac:dyDescent="0.25">
      <c r="A8" s="13" t="s">
        <v>308</v>
      </c>
      <c r="B8" s="27">
        <f>-SUM('Proforma (monthly)'!I6:I17)</f>
        <v>-799166.66666666674</v>
      </c>
      <c r="C8" s="27">
        <f>-SUM('Proforma (monthly)'!I18:I29)</f>
        <v>-1820808.2000000002</v>
      </c>
      <c r="D8" s="27">
        <f>-SUM('Proforma (monthly)'!I30:I41)</f>
        <v>-2699864.0536066666</v>
      </c>
      <c r="E8" s="27">
        <f>-SUM('Proforma (monthly)'!I42:I53)</f>
        <v>-3475673.8074248969</v>
      </c>
      <c r="F8" s="27">
        <f>-SUM('Proforma (monthly)'!I54:I65)</f>
        <v>-4402747.4566834308</v>
      </c>
      <c r="G8" s="27">
        <f>-SUM('Proforma (monthly)'!I66:I77)</f>
        <v>-6060711.9947175868</v>
      </c>
    </row>
    <row r="9" spans="1:7" x14ac:dyDescent="0.25">
      <c r="A9" s="18" t="s">
        <v>300</v>
      </c>
      <c r="B9" s="32">
        <f t="shared" ref="B9:G9" si="1">B7+B8</f>
        <v>-831039.99495334213</v>
      </c>
      <c r="C9" s="32">
        <f t="shared" si="1"/>
        <v>-1353236.3931177952</v>
      </c>
      <c r="D9" s="32">
        <f t="shared" si="1"/>
        <v>-1087970.285711267</v>
      </c>
      <c r="E9" s="32">
        <f t="shared" si="1"/>
        <v>1037805.9476779667</v>
      </c>
      <c r="F9" s="32">
        <f t="shared" si="1"/>
        <v>6942165.7472449541</v>
      </c>
      <c r="G9" s="32">
        <f t="shared" si="1"/>
        <v>21416315.511048041</v>
      </c>
    </row>
    <row r="10" spans="1:7" x14ac:dyDescent="0.25">
      <c r="A10" s="13" t="s">
        <v>16</v>
      </c>
      <c r="B10" s="29">
        <f t="shared" ref="B10:G10" si="2">B9/B5</f>
        <v>-40.421678867659757</v>
      </c>
      <c r="C10" s="29">
        <f t="shared" si="2"/>
        <v>-2.0917820358201729</v>
      </c>
      <c r="D10" s="29">
        <f t="shared" si="2"/>
        <v>-0.47493431415418985</v>
      </c>
      <c r="E10" s="29">
        <f t="shared" si="2"/>
        <v>0.17304310442982362</v>
      </c>
      <c r="F10" s="29">
        <f t="shared" si="2"/>
        <v>0.47136105583922672</v>
      </c>
      <c r="G10" s="29">
        <f t="shared" si="2"/>
        <v>0.60831543425972967</v>
      </c>
    </row>
  </sheetData>
  <mergeCells count="2">
    <mergeCell ref="A2:G2"/>
    <mergeCell ref="A1:G1"/>
  </mergeCells>
  <conditionalFormatting sqref="A1:G10">
    <cfRule type="expression" dxfId="65" priority="1">
      <formula>_xludf.ISFORMULA(A1)</formula>
    </cfRule>
    <cfRule type="expression" dxfId="6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2E7D32"/>
  </sheetPr>
  <dimension ref="A1:G8"/>
  <sheetViews>
    <sheetView showGridLines="0" workbookViewId="0"/>
  </sheetViews>
  <sheetFormatPr defaultRowHeight="15" x14ac:dyDescent="0.25"/>
  <cols>
    <col min="1" max="1" width="19.5703125" bestFit="1" customWidth="1"/>
    <col min="2" max="2" width="7.5703125" bestFit="1" customWidth="1"/>
    <col min="3" max="3" width="8.5703125" bestFit="1" customWidth="1"/>
    <col min="4" max="5" width="10.140625" bestFit="1" customWidth="1"/>
    <col min="6" max="7" width="11.140625" bestFit="1" customWidth="1"/>
  </cols>
  <sheetData>
    <row r="1" spans="1:7" ht="30" customHeight="1" x14ac:dyDescent="0.25">
      <c r="A1" s="110" t="s">
        <v>309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310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8" t="s">
        <v>311</v>
      </c>
      <c r="B5" s="32">
        <f>SUM('Proforma (monthly)'!F6:F17)</f>
        <v>20559.264687499999</v>
      </c>
      <c r="C5" s="32">
        <f>SUM('Proforma (monthly)'!F18:F29)</f>
        <v>646929.92383750004</v>
      </c>
      <c r="D5" s="32">
        <f>SUM('Proforma (monthly)'!F30:F41)</f>
        <v>2290780.5422500004</v>
      </c>
      <c r="E5" s="32">
        <f>SUM('Proforma (monthly)'!F42:F53)</f>
        <v>5997384.0107499994</v>
      </c>
      <c r="F5" s="32">
        <f>SUM('Proforma (monthly)'!F54:F65)</f>
        <v>14727915.387250001</v>
      </c>
      <c r="G5" s="32">
        <f>SUM('Proforma (monthly)'!F66:F77)</f>
        <v>35205938.079000004</v>
      </c>
    </row>
    <row r="6" spans="1:7" x14ac:dyDescent="0.25">
      <c r="A6" s="13" t="s">
        <v>312</v>
      </c>
      <c r="B6" s="27">
        <f>B5*(Pricing!B7*Pricing!B5+(1-Pricing!B7)*Pricing!B6)/'Proforma (monthly)'!N77</f>
        <v>2220.5236217280271</v>
      </c>
      <c r="C6" s="27">
        <f>C5*(Pricing!B7*Pricing!B5+(1-Pricing!B7)*Pricing!B6)/'Proforma (monthly)'!N77</f>
        <v>69872.303281220273</v>
      </c>
      <c r="D6" s="27">
        <f>D5*(Pricing!B7*Pricing!B5+(1-Pricing!B7)*Pricing!B6)/'Proforma (monthly)'!N77</f>
        <v>247418.00757853905</v>
      </c>
      <c r="E6" s="27">
        <f>E5*(Pricing!B7*Pricing!B5+(1-Pricing!B7)*Pricing!B6)/'Proforma (monthly)'!N77</f>
        <v>647753.36408511095</v>
      </c>
      <c r="F6" s="27">
        <f>F5*(Pricing!B7*Pricing!B5+(1-Pricing!B7)*Pricing!B6)/'Proforma (monthly)'!N77</f>
        <v>1590703</v>
      </c>
      <c r="G6" s="27">
        <f>G5*(Pricing!B7*Pricing!B5+(1-Pricing!B7)*Pricing!B6)/'Proforma (monthly)'!N77</f>
        <v>3802452</v>
      </c>
    </row>
    <row r="7" spans="1:7" x14ac:dyDescent="0.25">
      <c r="A7" s="13" t="s">
        <v>313</v>
      </c>
      <c r="B7" s="27">
        <f t="shared" ref="B7:G7" si="0">B5-B6</f>
        <v>18338.741065771974</v>
      </c>
      <c r="C7" s="27">
        <f t="shared" si="0"/>
        <v>577057.62055627978</v>
      </c>
      <c r="D7" s="27">
        <f t="shared" si="0"/>
        <v>2043362.5346714614</v>
      </c>
      <c r="E7" s="27">
        <f t="shared" si="0"/>
        <v>5349630.6466648886</v>
      </c>
      <c r="F7" s="27">
        <f t="shared" si="0"/>
        <v>13137212.387250001</v>
      </c>
      <c r="G7" s="27">
        <f t="shared" si="0"/>
        <v>31403486.079000004</v>
      </c>
    </row>
    <row r="8" spans="1:7" x14ac:dyDescent="0.25">
      <c r="A8" s="13" t="s">
        <v>314</v>
      </c>
      <c r="B8" s="28">
        <f>'Proforma (monthly)'!E17</f>
        <v>5</v>
      </c>
      <c r="C8" s="28">
        <f>'Proforma (monthly)'!E29</f>
        <v>27</v>
      </c>
      <c r="D8" s="28">
        <f>'Proforma (monthly)'!E41</f>
        <v>63</v>
      </c>
      <c r="E8" s="28">
        <f>'Proforma (monthly)'!E53</f>
        <v>152</v>
      </c>
      <c r="F8" s="28">
        <f>'Proforma (monthly)'!E65</f>
        <v>362</v>
      </c>
      <c r="G8" s="28">
        <f>'Proforma (monthly)'!E77</f>
        <v>866</v>
      </c>
    </row>
  </sheetData>
  <mergeCells count="2">
    <mergeCell ref="A2:G2"/>
    <mergeCell ref="A1:G1"/>
  </mergeCells>
  <conditionalFormatting sqref="A1:G8">
    <cfRule type="expression" dxfId="63" priority="1">
      <formula>_xludf.ISFORMULA(A1)</formula>
    </cfRule>
    <cfRule type="expression" dxfId="6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A8A83"/>
  </sheetPr>
  <dimension ref="A1:F18"/>
  <sheetViews>
    <sheetView showGridLines="0" tabSelected="1" workbookViewId="0">
      <selection sqref="A1:F1"/>
    </sheetView>
  </sheetViews>
  <sheetFormatPr defaultRowHeight="15" x14ac:dyDescent="0.25"/>
  <cols>
    <col min="1" max="1" width="5.7109375" customWidth="1"/>
    <col min="2" max="2" width="64.7109375" style="125" customWidth="1"/>
    <col min="3" max="3" width="21.42578125" bestFit="1" customWidth="1"/>
    <col min="4" max="4" width="24.140625" bestFit="1" customWidth="1"/>
    <col min="5" max="5" width="22" customWidth="1"/>
    <col min="6" max="6" width="5.7109375" customWidth="1"/>
  </cols>
  <sheetData>
    <row r="1" spans="1:6" ht="21" x14ac:dyDescent="0.25">
      <c r="A1" s="98" t="s">
        <v>0</v>
      </c>
      <c r="B1" s="96"/>
      <c r="C1" s="96"/>
      <c r="D1" s="96"/>
      <c r="E1" s="96"/>
      <c r="F1" s="96"/>
    </row>
    <row r="2" spans="1:6" x14ac:dyDescent="0.25">
      <c r="A2" s="95" t="s">
        <v>1</v>
      </c>
      <c r="B2" s="96"/>
      <c r="C2" s="96"/>
      <c r="D2" s="96"/>
      <c r="E2" s="96"/>
      <c r="F2" s="96"/>
    </row>
    <row r="4" spans="1:6" x14ac:dyDescent="0.25">
      <c r="B4" s="119" t="s">
        <v>2</v>
      </c>
      <c r="C4" s="97" t="s">
        <v>3</v>
      </c>
      <c r="D4" s="97" t="s">
        <v>4</v>
      </c>
    </row>
    <row r="5" spans="1:6" ht="33.75" x14ac:dyDescent="0.25">
      <c r="B5" s="120">
        <f>Returns!B13</f>
        <v>101797470.37200001</v>
      </c>
      <c r="C5" s="9">
        <f>Returns!B14</f>
        <v>25.449367593000002</v>
      </c>
      <c r="D5" s="10">
        <f>Returns!B16</f>
        <v>0.71506071492798262</v>
      </c>
    </row>
    <row r="6" spans="1:6" x14ac:dyDescent="0.25">
      <c r="B6" s="121" t="s">
        <v>5</v>
      </c>
      <c r="C6" s="11" t="s">
        <v>6</v>
      </c>
      <c r="D6" s="11" t="s">
        <v>7</v>
      </c>
    </row>
    <row r="8" spans="1:6" ht="15.75" x14ac:dyDescent="0.25">
      <c r="B8" s="122" t="s">
        <v>8</v>
      </c>
    </row>
    <row r="9" spans="1:6" x14ac:dyDescent="0.25">
      <c r="B9" s="123" t="s">
        <v>9</v>
      </c>
      <c r="C9" s="14">
        <f>'Financing &amp; returns'!B7</f>
        <v>4000000</v>
      </c>
    </row>
    <row r="10" spans="1:6" x14ac:dyDescent="0.25">
      <c r="B10" s="123" t="s">
        <v>10</v>
      </c>
      <c r="C10" s="15">
        <f>'Financing &amp; returns'!B10*'Financing &amp; returns'!B11</f>
        <v>0.2</v>
      </c>
    </row>
    <row r="11" spans="1:6" x14ac:dyDescent="0.25">
      <c r="B11" s="123" t="s">
        <v>11</v>
      </c>
      <c r="C11" s="14">
        <f>'Proforma (monthly)'!G77</f>
        <v>50898735.186000004</v>
      </c>
    </row>
    <row r="12" spans="1:6" x14ac:dyDescent="0.25">
      <c r="B12" s="123" t="s">
        <v>12</v>
      </c>
      <c r="C12" s="16">
        <f>'Financing &amp; returns'!B5</f>
        <v>10</v>
      </c>
    </row>
    <row r="13" spans="1:6" x14ac:dyDescent="0.25">
      <c r="B13" s="123" t="s">
        <v>13</v>
      </c>
      <c r="C13" s="14">
        <f>Returns!B12</f>
        <v>508987351.86000001</v>
      </c>
    </row>
    <row r="14" spans="1:6" x14ac:dyDescent="0.25">
      <c r="B14" s="123" t="s">
        <v>14</v>
      </c>
      <c r="C14" s="14">
        <f>Returns!B13</f>
        <v>101797470.37200001</v>
      </c>
    </row>
    <row r="15" spans="1:6" x14ac:dyDescent="0.25">
      <c r="B15" s="123" t="s">
        <v>15</v>
      </c>
      <c r="C15" s="14">
        <f>Returns!B19</f>
        <v>33123430.943501171</v>
      </c>
    </row>
    <row r="16" spans="1:6" x14ac:dyDescent="0.25">
      <c r="B16" s="123" t="s">
        <v>16</v>
      </c>
      <c r="C16" s="15">
        <f>Returns!B19/'Proforma (monthly)'!G77</f>
        <v>0.65077119937180605</v>
      </c>
    </row>
    <row r="18" spans="2:2" ht="25.5" x14ac:dyDescent="0.25">
      <c r="B18" s="124" t="s">
        <v>17</v>
      </c>
    </row>
  </sheetData>
  <mergeCells count="5">
    <mergeCell ref="A2:F2"/>
    <mergeCell ref="D4"/>
    <mergeCell ref="B4"/>
    <mergeCell ref="C4"/>
    <mergeCell ref="A1:F1"/>
  </mergeCells>
  <conditionalFormatting sqref="A1:F18">
    <cfRule type="expression" dxfId="101" priority="1">
      <formula>_xludf.ISFORMULA(A1)</formula>
    </cfRule>
    <cfRule type="expression" dxfId="10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2E7D32"/>
  </sheetPr>
  <dimension ref="A1:G7"/>
  <sheetViews>
    <sheetView showGridLines="0" workbookViewId="0"/>
  </sheetViews>
  <sheetFormatPr defaultRowHeight="15" x14ac:dyDescent="0.25"/>
  <cols>
    <col min="1" max="1" width="20.140625" bestFit="1" customWidth="1"/>
    <col min="2" max="7" width="5.7109375" customWidth="1"/>
  </cols>
  <sheetData>
    <row r="1" spans="1:7" ht="30" customHeight="1" x14ac:dyDescent="0.25">
      <c r="A1" s="110" t="s">
        <v>315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316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317</v>
      </c>
      <c r="B5" s="28">
        <f>'Proforma (monthly)'!D17</f>
        <v>1.9957346812224395</v>
      </c>
      <c r="C5" s="28">
        <f>'Proforma (monthly)'!D29</f>
        <v>10.611754003461945</v>
      </c>
      <c r="D5" s="28">
        <f>'Proforma (monthly)'!D41</f>
        <v>25.362092068274052</v>
      </c>
      <c r="E5" s="28">
        <f>'Proforma (monthly)'!D53</f>
        <v>60.615400043175008</v>
      </c>
      <c r="F5" s="28">
        <f>'Proforma (monthly)'!D65</f>
        <v>144.87080610318833</v>
      </c>
      <c r="G5" s="28">
        <f>'Proforma (monthly)'!D77</f>
        <v>346.24122658662037</v>
      </c>
    </row>
    <row r="6" spans="1:7" x14ac:dyDescent="0.25">
      <c r="A6" s="18" t="s">
        <v>314</v>
      </c>
      <c r="B6" s="56">
        <f>'Proforma (monthly)'!E17</f>
        <v>5</v>
      </c>
      <c r="C6" s="56">
        <f>'Proforma (monthly)'!E29</f>
        <v>27</v>
      </c>
      <c r="D6" s="56">
        <f>'Proforma (monthly)'!E41</f>
        <v>63</v>
      </c>
      <c r="E6" s="56">
        <f>'Proforma (monthly)'!E53</f>
        <v>152</v>
      </c>
      <c r="F6" s="56">
        <f>'Proforma (monthly)'!E65</f>
        <v>362</v>
      </c>
      <c r="G6" s="56">
        <f>'Proforma (monthly)'!E77</f>
        <v>866</v>
      </c>
    </row>
    <row r="7" spans="1:7" x14ac:dyDescent="0.25">
      <c r="A7" s="13" t="s">
        <v>318</v>
      </c>
      <c r="B7" s="28">
        <f>SUM('Proforma (monthly)'!C6:C17)</f>
        <v>1.9957346812224395</v>
      </c>
      <c r="C7" s="28">
        <f>SUM('Proforma (monthly)'!C18:C29)</f>
        <v>8.6160193222395058</v>
      </c>
      <c r="D7" s="28">
        <f>SUM('Proforma (monthly)'!C30:C41)</f>
        <v>14.750338064812107</v>
      </c>
      <c r="E7" s="28">
        <f>SUM('Proforma (monthly)'!C42:C53)</f>
        <v>35.253307974900956</v>
      </c>
      <c r="F7" s="28">
        <f>SUM('Proforma (monthly)'!C54:C65)</f>
        <v>84.255406060013314</v>
      </c>
      <c r="G7" s="28">
        <f>SUM('Proforma (monthly)'!C66:C77)</f>
        <v>201.37042048343204</v>
      </c>
    </row>
  </sheetData>
  <mergeCells count="2">
    <mergeCell ref="A2:G2"/>
    <mergeCell ref="A1:G1"/>
  </mergeCells>
  <conditionalFormatting sqref="A1:G7">
    <cfRule type="expression" dxfId="61" priority="1">
      <formula>_xludf.ISFORMULA(A1)</formula>
    </cfRule>
    <cfRule type="expression" dxfId="6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2E7D32"/>
  </sheetPr>
  <dimension ref="A1:C9"/>
  <sheetViews>
    <sheetView showGridLines="0" workbookViewId="0"/>
  </sheetViews>
  <sheetFormatPr defaultRowHeight="15" x14ac:dyDescent="0.25"/>
  <cols>
    <col min="1" max="1" width="27.5703125" bestFit="1" customWidth="1"/>
    <col min="2" max="2" width="19" bestFit="1" customWidth="1"/>
    <col min="3" max="3" width="19.140625" bestFit="1" customWidth="1"/>
  </cols>
  <sheetData>
    <row r="1" spans="1:3" ht="30" customHeight="1" x14ac:dyDescent="0.25">
      <c r="A1" s="110" t="s">
        <v>319</v>
      </c>
      <c r="B1" s="96"/>
      <c r="C1" s="96"/>
    </row>
    <row r="2" spans="1:3" ht="18" customHeight="1" x14ac:dyDescent="0.25">
      <c r="A2" s="95" t="s">
        <v>320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321</v>
      </c>
      <c r="B4" s="29">
        <f>'Growth &amp; timing'!B12</f>
        <v>0.05</v>
      </c>
      <c r="C4" s="17" t="s">
        <v>322</v>
      </c>
    </row>
    <row r="5" spans="1:3" x14ac:dyDescent="0.25">
      <c r="A5" s="13" t="s">
        <v>323</v>
      </c>
      <c r="B5" s="29">
        <f>1-'Growth &amp; timing'!B12</f>
        <v>0.95</v>
      </c>
    </row>
    <row r="6" spans="1:3" x14ac:dyDescent="0.25">
      <c r="A6" s="13" t="s">
        <v>324</v>
      </c>
      <c r="B6" s="57">
        <f>(1-'Growth &amp; timing'!B12)^(1/12)</f>
        <v>0.99573468122243936</v>
      </c>
    </row>
    <row r="7" spans="1:3" x14ac:dyDescent="0.25">
      <c r="A7" s="13" t="s">
        <v>325</v>
      </c>
      <c r="B7" s="58">
        <f>1/'Growth &amp; timing'!B12</f>
        <v>20</v>
      </c>
      <c r="C7" s="17" t="s">
        <v>326</v>
      </c>
    </row>
    <row r="8" spans="1:3" x14ac:dyDescent="0.25">
      <c r="A8" s="13" t="s">
        <v>327</v>
      </c>
      <c r="B8" s="29">
        <f>1-'Growth &amp; timing'!B12</f>
        <v>0.95</v>
      </c>
      <c r="C8" s="17" t="s">
        <v>328</v>
      </c>
    </row>
    <row r="9" spans="1:3" x14ac:dyDescent="0.25">
      <c r="A9" s="13" t="s">
        <v>77</v>
      </c>
      <c r="B9" s="29">
        <f>1</f>
        <v>1</v>
      </c>
      <c r="C9" s="17" t="s">
        <v>329</v>
      </c>
    </row>
  </sheetData>
  <mergeCells count="2">
    <mergeCell ref="A1:C1"/>
    <mergeCell ref="A2:C2"/>
  </mergeCells>
  <conditionalFormatting sqref="A1:C9">
    <cfRule type="expression" dxfId="59" priority="1">
      <formula>_xludf.ISFORMULA(A1)</formula>
    </cfRule>
    <cfRule type="expression" dxfId="5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2E7D32"/>
  </sheetPr>
  <dimension ref="A1:G16"/>
  <sheetViews>
    <sheetView showGridLines="0" workbookViewId="0"/>
  </sheetViews>
  <sheetFormatPr defaultRowHeight="15" x14ac:dyDescent="0.25"/>
  <cols>
    <col min="1" max="1" width="31.42578125" bestFit="1" customWidth="1"/>
    <col min="2" max="7" width="10.140625" bestFit="1" customWidth="1"/>
  </cols>
  <sheetData>
    <row r="1" spans="1:7" ht="30" customHeight="1" x14ac:dyDescent="0.25">
      <c r="A1" s="110" t="s">
        <v>330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331</v>
      </c>
      <c r="B2" s="96"/>
      <c r="C2" s="96"/>
      <c r="D2" s="96"/>
      <c r="E2" s="96"/>
      <c r="F2" s="96"/>
      <c r="G2" s="96"/>
    </row>
    <row r="4" spans="1:7" x14ac:dyDescent="0.25">
      <c r="B4" s="2" t="s">
        <v>332</v>
      </c>
      <c r="C4" s="2" t="s">
        <v>333</v>
      </c>
      <c r="D4" s="2" t="s">
        <v>334</v>
      </c>
      <c r="E4" s="2" t="s">
        <v>335</v>
      </c>
      <c r="F4" s="2" t="s">
        <v>336</v>
      </c>
      <c r="G4" s="2" t="s">
        <v>337</v>
      </c>
    </row>
    <row r="5" spans="1:7" x14ac:dyDescent="0.25">
      <c r="A5" s="59" t="s">
        <v>338</v>
      </c>
      <c r="B5" s="60">
        <f>MIN('Throughput → collections'!B6,'Throughput → collections'!B5+('Throughput → collections'!B6-'Throughput → collections'!B5)*MIN(0,'Throughput → collections'!B7)/'Throughput → collections'!B7)</f>
        <v>20</v>
      </c>
      <c r="C5" s="60">
        <f>MIN('Throughput → collections'!B6,'Throughput → collections'!B5+('Throughput → collections'!B6-'Throughput → collections'!B5)*MIN(1,'Throughput → collections'!B7)/'Throughput → collections'!B7)</f>
        <v>22.666666666666668</v>
      </c>
      <c r="D5" s="60">
        <f>MIN('Throughput → collections'!B6,'Throughput → collections'!B5+('Throughput → collections'!B6-'Throughput → collections'!B5)*MIN(2,'Throughput → collections'!B7)/'Throughput → collections'!B7)</f>
        <v>25.333333333333332</v>
      </c>
      <c r="E5" s="60">
        <f>MIN('Throughput → collections'!B6,'Throughput → collections'!B5+('Throughput → collections'!B6-'Throughput → collections'!B5)*MIN(3,'Throughput → collections'!B7)/'Throughput → collections'!B7)</f>
        <v>28</v>
      </c>
      <c r="F5" s="60">
        <f>MIN('Throughput → collections'!B6,'Throughput → collections'!B5+('Throughput → collections'!B6-'Throughput → collections'!B5)*MIN(4,'Throughput → collections'!B7)/'Throughput → collections'!B7)</f>
        <v>28</v>
      </c>
      <c r="G5" s="60">
        <f>MIN('Throughput → collections'!B6,'Throughput → collections'!B5+('Throughput → collections'!B6-'Throughput → collections'!B5)*MIN(5,'Throughput → collections'!B7)/'Throughput → collections'!B7)</f>
        <v>28</v>
      </c>
    </row>
    <row r="6" spans="1:7" x14ac:dyDescent="0.25">
      <c r="A6" s="13" t="s">
        <v>148</v>
      </c>
      <c r="B6" s="61">
        <f>'Throughput → collections'!B8</f>
        <v>255</v>
      </c>
      <c r="C6" s="61">
        <f>'Throughput → collections'!B8</f>
        <v>255</v>
      </c>
      <c r="D6" s="61">
        <f>'Throughput → collections'!B8</f>
        <v>255</v>
      </c>
      <c r="E6" s="61">
        <f>'Throughput → collections'!B8</f>
        <v>255</v>
      </c>
      <c r="F6" s="61">
        <f>'Throughput → collections'!B8</f>
        <v>255</v>
      </c>
      <c r="G6" s="61">
        <f>'Throughput → collections'!B8</f>
        <v>255</v>
      </c>
    </row>
    <row r="7" spans="1:7" x14ac:dyDescent="0.25">
      <c r="A7" s="13" t="s">
        <v>151</v>
      </c>
      <c r="B7" s="62">
        <f>'Throughput → collections'!B9</f>
        <v>150</v>
      </c>
      <c r="C7" s="62">
        <f>'Throughput → collections'!B9</f>
        <v>150</v>
      </c>
      <c r="D7" s="62">
        <f>'Throughput → collections'!B9</f>
        <v>150</v>
      </c>
      <c r="E7" s="62">
        <f>'Throughput → collections'!B9</f>
        <v>150</v>
      </c>
      <c r="F7" s="62">
        <f>'Throughput → collections'!B9</f>
        <v>150</v>
      </c>
      <c r="G7" s="62">
        <f>'Throughput → collections'!B9</f>
        <v>150</v>
      </c>
    </row>
    <row r="8" spans="1:7" x14ac:dyDescent="0.25">
      <c r="A8" s="18" t="s">
        <v>339</v>
      </c>
      <c r="B8" s="63">
        <f>B5*'Throughput → collections'!B8*'Throughput → collections'!B9</f>
        <v>765000</v>
      </c>
      <c r="C8" s="63">
        <f>C5*'Throughput → collections'!B8*'Throughput → collections'!B9</f>
        <v>867000</v>
      </c>
      <c r="D8" s="63">
        <f>D5*'Throughput → collections'!B8*'Throughput → collections'!B9</f>
        <v>969000</v>
      </c>
      <c r="E8" s="63">
        <f>E5*'Throughput → collections'!B8*'Throughput → collections'!B9</f>
        <v>1071000</v>
      </c>
      <c r="F8" s="63">
        <f>F5*'Throughput → collections'!B8*'Throughput → collections'!B9</f>
        <v>1071000</v>
      </c>
      <c r="G8" s="63">
        <f>G5*'Throughput → collections'!B8*'Throughput → collections'!B9</f>
        <v>1071000</v>
      </c>
    </row>
    <row r="9" spans="1:7" x14ac:dyDescent="0.25">
      <c r="A9" s="13" t="s">
        <v>340</v>
      </c>
      <c r="B9" s="62">
        <f>B8*'Throughput → collections'!B10</f>
        <v>849150.00000000012</v>
      </c>
      <c r="C9" s="62">
        <f>C8*'Throughput → collections'!B10</f>
        <v>962370.00000000012</v>
      </c>
      <c r="D9" s="62">
        <f>D8*'Throughput → collections'!B10</f>
        <v>1075590</v>
      </c>
      <c r="E9" s="62">
        <f>E8*'Throughput → collections'!B10</f>
        <v>1188810</v>
      </c>
      <c r="F9" s="62">
        <f>F8*'Throughput → collections'!B10</f>
        <v>1188810</v>
      </c>
      <c r="G9" s="62">
        <f>G8*'Throughput → collections'!B10</f>
        <v>1188810</v>
      </c>
    </row>
    <row r="10" spans="1:7" x14ac:dyDescent="0.25">
      <c r="A10" s="64" t="s">
        <v>341</v>
      </c>
      <c r="B10" s="63">
        <f>B9*'Growth &amp; timing'!B6</f>
        <v>2122875.0000000005</v>
      </c>
      <c r="C10" s="63">
        <f>C9*'Growth &amp; timing'!B6</f>
        <v>2405925.0000000005</v>
      </c>
      <c r="D10" s="63">
        <f>D9*'Growth &amp; timing'!B6</f>
        <v>2688975</v>
      </c>
      <c r="E10" s="63">
        <f>E9*'Growth &amp; timing'!B6</f>
        <v>2972025</v>
      </c>
      <c r="F10" s="63">
        <f>F9*'Growth &amp; timing'!B6</f>
        <v>2972025</v>
      </c>
      <c r="G10" s="63">
        <f>G9*'Growth &amp; timing'!B6</f>
        <v>2972025</v>
      </c>
    </row>
    <row r="12" spans="1:7" x14ac:dyDescent="0.25">
      <c r="A12" s="59" t="s">
        <v>342</v>
      </c>
    </row>
    <row r="13" spans="1:7" x14ac:dyDescent="0.25">
      <c r="A13" s="13" t="s">
        <v>343</v>
      </c>
      <c r="B13" s="62">
        <f>(Pricing!B7*Pricing!B5+(1-Pricing!B7)*Pricing!B6)+(B8*'Throughput → collections'!B10*Pricing!B8*Pricing!B9)/12</f>
        <v>3649.6262500000007</v>
      </c>
      <c r="C13" s="62">
        <f>(Pricing!B7*Pricing!B5+(1-Pricing!B7)*Pricing!B6)+(C8*'Throughput → collections'!B10*Pricing!B8*Pricing!B9)/12</f>
        <v>4065.7097500000004</v>
      </c>
      <c r="D13" s="62">
        <f>(Pricing!B7*Pricing!B5+(1-Pricing!B7)*Pricing!B6)+(D8*'Throughput → collections'!B10*Pricing!B8*Pricing!B9)/12</f>
        <v>4481.7932500000006</v>
      </c>
      <c r="E13" s="62">
        <f>(Pricing!B7*Pricing!B5+(1-Pricing!B7)*Pricing!B6)+(E8*'Throughput → collections'!B10*Pricing!B8*Pricing!B9)/12</f>
        <v>4897.8767500000004</v>
      </c>
      <c r="F13" s="62">
        <f>(Pricing!B7*Pricing!B5+(1-Pricing!B7)*Pricing!B6)+(F8*'Throughput → collections'!B10*Pricing!B8*Pricing!B9)/12</f>
        <v>4897.8767500000004</v>
      </c>
      <c r="G13" s="62">
        <f>(Pricing!B7*Pricing!B5+(1-Pricing!B7)*Pricing!B6)+(G8*'Throughput → collections'!B10*Pricing!B8*Pricing!B9)/12</f>
        <v>4897.8767500000004</v>
      </c>
    </row>
    <row r="14" spans="1:7" x14ac:dyDescent="0.25">
      <c r="A14" s="13" t="s">
        <v>344</v>
      </c>
      <c r="B14" s="62">
        <f>(B8*'Throughput → collections'!B10*Pricing!B8*Pricing!B9)/12</f>
        <v>3120.6262500000007</v>
      </c>
      <c r="C14" s="62">
        <f>(C8*'Throughput → collections'!B10*Pricing!B8*Pricing!B9)/12</f>
        <v>3536.7097500000004</v>
      </c>
      <c r="D14" s="62">
        <f>(D8*'Throughput → collections'!B10*Pricing!B8*Pricing!B9)/12</f>
        <v>3952.7932500000006</v>
      </c>
      <c r="E14" s="62">
        <f>(E8*'Throughput → collections'!B10*Pricing!B8*Pricing!B9)/12</f>
        <v>4368.8767500000004</v>
      </c>
      <c r="F14" s="62">
        <f>(F8*'Throughput → collections'!B10*Pricing!B8*Pricing!B9)/12</f>
        <v>4368.8767500000004</v>
      </c>
      <c r="G14" s="62">
        <f>(G8*'Throughput → collections'!B10*Pricing!B8*Pricing!B9)/12</f>
        <v>4368.8767500000004</v>
      </c>
    </row>
    <row r="16" spans="1:7" ht="30" customHeight="1" x14ac:dyDescent="0.25">
      <c r="A16" s="116" t="s">
        <v>345</v>
      </c>
      <c r="B16" s="96"/>
      <c r="C16" s="96"/>
      <c r="D16" s="96"/>
      <c r="E16" s="96"/>
      <c r="F16" s="96"/>
      <c r="G16" s="96"/>
    </row>
  </sheetData>
  <mergeCells count="3">
    <mergeCell ref="A16:G16"/>
    <mergeCell ref="A2:G2"/>
    <mergeCell ref="A1:G1"/>
  </mergeCells>
  <conditionalFormatting sqref="A1:G16">
    <cfRule type="expression" dxfId="57" priority="1">
      <formula>_xludf.ISFORMULA(A1)</formula>
    </cfRule>
    <cfRule type="expression" dxfId="56" priority="2">
      <formula>AND(ISNUMBER(A1),NOT(_xludf.ISFORMULA(A1)),COLUMN(A1)&gt;1)</formula>
    </cfRule>
  </conditionalFormatting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2E7D32"/>
  </sheetPr>
  <dimension ref="A1:C10"/>
  <sheetViews>
    <sheetView showGridLines="0" workbookViewId="0"/>
  </sheetViews>
  <sheetFormatPr defaultRowHeight="15" x14ac:dyDescent="0.25"/>
  <cols>
    <col min="1" max="1" width="25.140625" bestFit="1" customWidth="1"/>
    <col min="2" max="2" width="19" bestFit="1" customWidth="1"/>
    <col min="3" max="3" width="15.140625" bestFit="1" customWidth="1"/>
  </cols>
  <sheetData>
    <row r="1" spans="1:3" ht="30" customHeight="1" x14ac:dyDescent="0.25">
      <c r="A1" s="110" t="s">
        <v>346</v>
      </c>
      <c r="B1" s="96"/>
      <c r="C1" s="96"/>
    </row>
    <row r="2" spans="1:3" ht="18" customHeight="1" x14ac:dyDescent="0.25">
      <c r="A2" s="95" t="s">
        <v>347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348</v>
      </c>
      <c r="B4" s="28">
        <f>('Proforma (monthly)'!L77*'Throughput → collections'!B8/12)</f>
        <v>595</v>
      </c>
    </row>
    <row r="5" spans="1:3" x14ac:dyDescent="0.25">
      <c r="A5" s="13" t="s">
        <v>210</v>
      </c>
      <c r="B5" s="57">
        <f>'Cost-to-serve (per encounter-cl'!B6</f>
        <v>1.05</v>
      </c>
    </row>
    <row r="6" spans="1:3" x14ac:dyDescent="0.25">
      <c r="A6" s="13" t="s">
        <v>349</v>
      </c>
      <c r="B6" s="28">
        <f>('Proforma (monthly)'!L77*'Throughput → collections'!B8/12)*'Cost-to-serve (per encounter-cl'!B6</f>
        <v>624.75</v>
      </c>
    </row>
    <row r="7" spans="1:3" x14ac:dyDescent="0.25">
      <c r="A7" s="13" t="s">
        <v>39</v>
      </c>
      <c r="B7" s="28">
        <f>'Proforma (monthly)'!E77</f>
        <v>866</v>
      </c>
    </row>
    <row r="8" spans="1:3" x14ac:dyDescent="0.25">
      <c r="A8" s="13" t="s">
        <v>350</v>
      </c>
      <c r="B8" s="28">
        <f>'Proforma (monthly)'!E77*('Proforma (monthly)'!L77*'Throughput → collections'!B8/12)*'Cost-to-serve (per encounter-cl'!B6</f>
        <v>541033.5</v>
      </c>
    </row>
    <row r="9" spans="1:3" x14ac:dyDescent="0.25">
      <c r="A9" s="13" t="s">
        <v>351</v>
      </c>
      <c r="B9" s="28">
        <f>'Staffing &amp; FTE'!I93+'Staffing &amp; FTE'!J93</f>
        <v>46</v>
      </c>
      <c r="C9" s="17" t="s">
        <v>352</v>
      </c>
    </row>
    <row r="10" spans="1:3" x14ac:dyDescent="0.25">
      <c r="A10" s="13" t="s">
        <v>353</v>
      </c>
      <c r="B10" s="28">
        <f>'Proforma (monthly)'!E77*('Proforma (monthly)'!L77*'Throughput → collections'!B8/12)*'Cost-to-serve (per encounter-cl'!B6/('Staffing &amp; FTE'!I93+'Staffing &amp; FTE'!J93)</f>
        <v>11761.597826086956</v>
      </c>
      <c r="C10" s="17" t="s">
        <v>354</v>
      </c>
    </row>
  </sheetData>
  <mergeCells count="2">
    <mergeCell ref="A1:C1"/>
    <mergeCell ref="A2:C2"/>
  </mergeCells>
  <conditionalFormatting sqref="A1:C10">
    <cfRule type="expression" dxfId="55" priority="1">
      <formula>_xludf.ISFORMULA(A1)</formula>
    </cfRule>
    <cfRule type="expression" dxfId="5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2E7D32"/>
  </sheetPr>
  <dimension ref="A1:C7"/>
  <sheetViews>
    <sheetView showGridLines="0" workbookViewId="0"/>
  </sheetViews>
  <sheetFormatPr defaultRowHeight="15" x14ac:dyDescent="0.25"/>
  <cols>
    <col min="1" max="1" width="27.42578125" bestFit="1" customWidth="1"/>
    <col min="2" max="2" width="19" bestFit="1" customWidth="1"/>
    <col min="3" max="3" width="11.7109375" bestFit="1" customWidth="1"/>
  </cols>
  <sheetData>
    <row r="1" spans="1:3" ht="30" customHeight="1" x14ac:dyDescent="0.25">
      <c r="A1" s="110" t="s">
        <v>355</v>
      </c>
      <c r="B1" s="96"/>
      <c r="C1" s="96"/>
    </row>
    <row r="2" spans="1:3" ht="18" customHeight="1" x14ac:dyDescent="0.25">
      <c r="A2" s="95" t="s">
        <v>356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357</v>
      </c>
      <c r="B4" s="27">
        <f>'Proforma (monthly)'!N77</f>
        <v>4897.8767500000004</v>
      </c>
      <c r="C4" s="17" t="s">
        <v>358</v>
      </c>
    </row>
    <row r="5" spans="1:3" x14ac:dyDescent="0.25">
      <c r="A5" s="13" t="s">
        <v>359</v>
      </c>
      <c r="B5" s="27">
        <f>'Proforma (monthly)'!H77/'Proforma (monthly)'!E77</f>
        <v>1061.3541423961942</v>
      </c>
      <c r="C5" s="17" t="s">
        <v>360</v>
      </c>
    </row>
    <row r="6" spans="1:3" x14ac:dyDescent="0.25">
      <c r="A6" s="13" t="s">
        <v>361</v>
      </c>
      <c r="B6" s="27">
        <f>'Proforma (monthly)'!N77-'Proforma (monthly)'!H77/'Proforma (monthly)'!E77</f>
        <v>3836.5226076038061</v>
      </c>
    </row>
    <row r="7" spans="1:3" x14ac:dyDescent="0.25">
      <c r="A7" s="13" t="s">
        <v>362</v>
      </c>
      <c r="B7" s="29">
        <f>1-('Proforma (monthly)'!H77/'Proforma (monthly)'!E77)/'Proforma (monthly)'!N77</f>
        <v>0.78330321554208271</v>
      </c>
    </row>
  </sheetData>
  <mergeCells count="2">
    <mergeCell ref="A1:C1"/>
    <mergeCell ref="A2:C2"/>
  </mergeCells>
  <conditionalFormatting sqref="A1:C7">
    <cfRule type="expression" dxfId="53" priority="1">
      <formula>_xludf.ISFORMULA(A1)</formula>
    </cfRule>
    <cfRule type="expression" dxfId="5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2E7D32"/>
  </sheetPr>
  <dimension ref="A1:D9"/>
  <sheetViews>
    <sheetView showGridLines="0" workbookViewId="0"/>
  </sheetViews>
  <sheetFormatPr defaultRowHeight="15" x14ac:dyDescent="0.25"/>
  <cols>
    <col min="1" max="1" width="17.5703125" bestFit="1" customWidth="1"/>
    <col min="2" max="2" width="19" bestFit="1" customWidth="1"/>
    <col min="3" max="3" width="9.85546875" bestFit="1" customWidth="1"/>
    <col min="4" max="4" width="40" customWidth="1"/>
  </cols>
  <sheetData>
    <row r="1" spans="1:4" ht="30" customHeight="1" x14ac:dyDescent="0.25">
      <c r="A1" s="98" t="s">
        <v>363</v>
      </c>
      <c r="B1" s="96"/>
      <c r="C1" s="96"/>
      <c r="D1" s="96"/>
    </row>
    <row r="2" spans="1:4" ht="18" customHeight="1" x14ac:dyDescent="0.25">
      <c r="A2" s="95" t="s">
        <v>364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365</v>
      </c>
      <c r="B4" s="33" t="s">
        <v>366</v>
      </c>
      <c r="C4" s="33" t="s">
        <v>367</v>
      </c>
    </row>
    <row r="5" spans="1:4" x14ac:dyDescent="0.25">
      <c r="A5" s="13" t="s">
        <v>368</v>
      </c>
      <c r="B5" s="14">
        <f>1*Pricing!B5+0*Pricing!B6</f>
        <v>595</v>
      </c>
      <c r="C5" s="15">
        <f>(1*Pricing!B5+0*Pricing!B6)/Pricing!B5-1</f>
        <v>0</v>
      </c>
    </row>
    <row r="6" spans="1:4" x14ac:dyDescent="0.25">
      <c r="A6" s="13" t="s">
        <v>369</v>
      </c>
      <c r="B6" s="14">
        <f>0.75*Pricing!B5+0.25*Pricing!B6</f>
        <v>545</v>
      </c>
      <c r="C6" s="15">
        <f>(0.75*Pricing!B5+0.25*Pricing!B6)/Pricing!B5-1</f>
        <v>-8.4033613445378186E-2</v>
      </c>
    </row>
    <row r="7" spans="1:4" x14ac:dyDescent="0.25">
      <c r="A7" s="13" t="s">
        <v>370</v>
      </c>
      <c r="B7" s="14">
        <f>0.67*Pricing!B5+0.33*Pricing!B6</f>
        <v>529</v>
      </c>
      <c r="C7" s="15">
        <f>(0.67*Pricing!B5+0.33*Pricing!B6)/Pricing!B5-1</f>
        <v>-0.11092436974789921</v>
      </c>
    </row>
    <row r="8" spans="1:4" x14ac:dyDescent="0.25">
      <c r="A8" s="13" t="s">
        <v>371</v>
      </c>
      <c r="B8" s="14">
        <f>0.5*Pricing!B5+0.5*Pricing!B6</f>
        <v>495</v>
      </c>
      <c r="C8" s="15">
        <f>(0.5*Pricing!B5+0.5*Pricing!B6)/Pricing!B5-1</f>
        <v>-0.16806722689075626</v>
      </c>
    </row>
    <row r="9" spans="1:4" x14ac:dyDescent="0.25">
      <c r="A9" s="13" t="s">
        <v>372</v>
      </c>
      <c r="B9" s="14">
        <f>0.25*Pricing!B5+0.75*Pricing!B6</f>
        <v>445</v>
      </c>
      <c r="C9" s="15">
        <f>(0.25*Pricing!B5+0.75*Pricing!B6)/Pricing!B5-1</f>
        <v>-0.25210084033613445</v>
      </c>
    </row>
  </sheetData>
  <mergeCells count="2">
    <mergeCell ref="A1:D1"/>
    <mergeCell ref="A2:D2"/>
  </mergeCells>
  <conditionalFormatting sqref="A1:D9">
    <cfRule type="expression" dxfId="51" priority="1">
      <formula>_xludf.ISFORMULA(A1)</formula>
    </cfRule>
    <cfRule type="expression" dxfId="5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2E7D32"/>
  </sheetPr>
  <dimension ref="A1:C16"/>
  <sheetViews>
    <sheetView showGridLines="0" workbookViewId="0"/>
  </sheetViews>
  <sheetFormatPr defaultRowHeight="15" x14ac:dyDescent="0.25"/>
  <cols>
    <col min="1" max="1" width="33" bestFit="1" customWidth="1"/>
    <col min="2" max="2" width="19" bestFit="1" customWidth="1"/>
    <col min="3" max="3" width="20.85546875" bestFit="1" customWidth="1"/>
  </cols>
  <sheetData>
    <row r="1" spans="1:3" ht="30" customHeight="1" x14ac:dyDescent="0.25">
      <c r="A1" s="113" t="s">
        <v>373</v>
      </c>
      <c r="B1" s="96"/>
      <c r="C1" s="96"/>
    </row>
    <row r="2" spans="1:3" ht="18" customHeight="1" x14ac:dyDescent="0.25">
      <c r="A2" s="95" t="s">
        <v>374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375</v>
      </c>
    </row>
    <row r="5" spans="1:3" x14ac:dyDescent="0.25">
      <c r="A5" s="13" t="s">
        <v>376</v>
      </c>
      <c r="B5" s="65">
        <f>'AI-Scribe &amp; Azure'!B31</f>
        <v>5.961640624999999E-2</v>
      </c>
      <c r="C5" s="17" t="s">
        <v>377</v>
      </c>
    </row>
    <row r="6" spans="1:3" x14ac:dyDescent="0.25">
      <c r="A6" s="13" t="s">
        <v>378</v>
      </c>
      <c r="B6" s="65">
        <f>'Cost-to-serve (per encounter-cl'!B7</f>
        <v>0.12</v>
      </c>
      <c r="C6" s="17" t="s">
        <v>379</v>
      </c>
    </row>
    <row r="7" spans="1:3" x14ac:dyDescent="0.25">
      <c r="A7" s="13" t="s">
        <v>380</v>
      </c>
      <c r="B7" s="65">
        <f>'Cost-to-serve (per encounter-cl'!B5</f>
        <v>0.45</v>
      </c>
      <c r="C7" s="17" t="s">
        <v>381</v>
      </c>
    </row>
    <row r="8" spans="1:3" x14ac:dyDescent="0.25">
      <c r="A8" s="13" t="s">
        <v>210</v>
      </c>
      <c r="B8" s="57">
        <f>'Cost-to-serve (per encounter-cl'!B6</f>
        <v>1.05</v>
      </c>
    </row>
    <row r="9" spans="1:3" x14ac:dyDescent="0.25">
      <c r="A9" s="13" t="s">
        <v>348</v>
      </c>
      <c r="B9" s="28">
        <f>'Proforma (monthly)'!L77*'Throughput → collections'!B8/12</f>
        <v>595</v>
      </c>
      <c r="C9" s="17" t="s">
        <v>382</v>
      </c>
    </row>
    <row r="10" spans="1:3" x14ac:dyDescent="0.25">
      <c r="A10" s="13" t="s">
        <v>383</v>
      </c>
      <c r="B10" s="27">
        <f>'Cost-to-serve (per encounter-cl'!B9</f>
        <v>300</v>
      </c>
    </row>
    <row r="11" spans="1:3" x14ac:dyDescent="0.25">
      <c r="A11" s="13" t="s">
        <v>384</v>
      </c>
      <c r="B11" s="27">
        <f>'Cost-to-serve (per encounter-cl'!B10</f>
        <v>50000</v>
      </c>
      <c r="C11" s="17" t="s">
        <v>385</v>
      </c>
    </row>
    <row r="13" spans="1:3" ht="15.75" x14ac:dyDescent="0.25">
      <c r="A13" s="12" t="s">
        <v>386</v>
      </c>
    </row>
    <row r="14" spans="1:3" x14ac:dyDescent="0.25">
      <c r="A14" s="13" t="s">
        <v>287</v>
      </c>
      <c r="B14" s="27">
        <f>'Proforma (monthly)'!H77</f>
        <v>919132.68731510418</v>
      </c>
      <c r="C14" s="17" t="s">
        <v>387</v>
      </c>
    </row>
    <row r="15" spans="1:3" x14ac:dyDescent="0.25">
      <c r="A15" s="13" t="s">
        <v>388</v>
      </c>
      <c r="B15" s="29">
        <f>'Proforma (monthly)'!H77/'Proforma (monthly)'!F77</f>
        <v>0.21669678445791721</v>
      </c>
      <c r="C15" s="17" t="s">
        <v>389</v>
      </c>
    </row>
    <row r="16" spans="1:3" x14ac:dyDescent="0.25">
      <c r="A16" s="13" t="s">
        <v>390</v>
      </c>
      <c r="B16" s="27">
        <f>'Staffing &amp; FTE'!Q93</f>
        <v>557300</v>
      </c>
      <c r="C16" s="17" t="s">
        <v>391</v>
      </c>
    </row>
  </sheetData>
  <mergeCells count="2">
    <mergeCell ref="A1:C1"/>
    <mergeCell ref="A2:C2"/>
  </mergeCells>
  <conditionalFormatting sqref="A1:C16">
    <cfRule type="expression" dxfId="49" priority="1">
      <formula>_xludf.ISFORMULA(A1)</formula>
    </cfRule>
    <cfRule type="expression" dxfId="4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2E7D32"/>
  </sheetPr>
  <dimension ref="A1:F50"/>
  <sheetViews>
    <sheetView showGridLines="0" workbookViewId="0"/>
  </sheetViews>
  <sheetFormatPr defaultRowHeight="15" x14ac:dyDescent="0.25"/>
  <cols>
    <col min="1" max="1" width="64.7109375" style="125" customWidth="1"/>
    <col min="2" max="2" width="19" bestFit="1" customWidth="1"/>
    <col min="3" max="3" width="14.140625" bestFit="1" customWidth="1"/>
    <col min="4" max="4" width="12.140625" bestFit="1" customWidth="1"/>
    <col min="5" max="5" width="11.140625" bestFit="1" customWidth="1"/>
    <col min="6" max="6" width="64.7109375" style="125" customWidth="1"/>
  </cols>
  <sheetData>
    <row r="1" spans="1:6" ht="21" x14ac:dyDescent="0.25">
      <c r="A1" s="117" t="s">
        <v>392</v>
      </c>
      <c r="B1" s="96"/>
      <c r="C1" s="96"/>
      <c r="D1" s="96"/>
      <c r="E1" s="96"/>
      <c r="F1" s="96"/>
    </row>
    <row r="2" spans="1:6" x14ac:dyDescent="0.25">
      <c r="A2" s="95" t="s">
        <v>393</v>
      </c>
      <c r="B2" s="96"/>
      <c r="C2" s="96"/>
      <c r="D2" s="96"/>
      <c r="E2" s="96"/>
      <c r="F2" s="96"/>
    </row>
    <row r="3" spans="1:6" x14ac:dyDescent="0.25">
      <c r="A3" s="136" t="s">
        <v>45</v>
      </c>
      <c r="B3" s="25" t="s">
        <v>46</v>
      </c>
    </row>
    <row r="4" spans="1:6" ht="15.75" x14ac:dyDescent="0.25">
      <c r="A4" s="122" t="s">
        <v>394</v>
      </c>
    </row>
    <row r="5" spans="1:6" x14ac:dyDescent="0.25">
      <c r="A5" s="123" t="s">
        <v>395</v>
      </c>
      <c r="B5" s="34">
        <v>20</v>
      </c>
      <c r="C5" s="17" t="s">
        <v>396</v>
      </c>
      <c r="F5" s="124" t="s">
        <v>397</v>
      </c>
    </row>
    <row r="6" spans="1:6" x14ac:dyDescent="0.25">
      <c r="A6" s="123" t="s">
        <v>398</v>
      </c>
      <c r="B6" s="37">
        <v>0.9</v>
      </c>
      <c r="C6" s="17" t="s">
        <v>133</v>
      </c>
      <c r="F6" s="124" t="s">
        <v>399</v>
      </c>
    </row>
    <row r="7" spans="1:6" ht="25.5" x14ac:dyDescent="0.25">
      <c r="A7" s="123" t="s">
        <v>400</v>
      </c>
      <c r="B7" s="66">
        <v>1.67E-2</v>
      </c>
      <c r="C7" s="17" t="s">
        <v>401</v>
      </c>
      <c r="F7" s="124" t="s">
        <v>402</v>
      </c>
    </row>
    <row r="8" spans="1:6" x14ac:dyDescent="0.25">
      <c r="A8" s="123" t="s">
        <v>403</v>
      </c>
      <c r="B8" s="34">
        <v>6000</v>
      </c>
      <c r="C8" s="17" t="s">
        <v>404</v>
      </c>
      <c r="F8" s="124" t="s">
        <v>405</v>
      </c>
    </row>
    <row r="9" spans="1:6" x14ac:dyDescent="0.25">
      <c r="A9" s="123" t="s">
        <v>406</v>
      </c>
      <c r="B9" s="40">
        <v>2</v>
      </c>
      <c r="C9" s="17" t="s">
        <v>407</v>
      </c>
      <c r="F9" s="124" t="s">
        <v>408</v>
      </c>
    </row>
    <row r="10" spans="1:6" x14ac:dyDescent="0.25">
      <c r="A10" s="123" t="s">
        <v>409</v>
      </c>
      <c r="B10" s="34">
        <v>25</v>
      </c>
      <c r="C10" s="17" t="s">
        <v>410</v>
      </c>
      <c r="F10" s="124" t="s">
        <v>411</v>
      </c>
    </row>
    <row r="11" spans="1:6" x14ac:dyDescent="0.25">
      <c r="A11" s="123" t="s">
        <v>412</v>
      </c>
      <c r="B11" s="40">
        <v>1</v>
      </c>
      <c r="C11" s="17" t="s">
        <v>413</v>
      </c>
      <c r="F11" s="124" t="s">
        <v>414</v>
      </c>
    </row>
    <row r="12" spans="1:6" x14ac:dyDescent="0.25">
      <c r="A12" s="123" t="s">
        <v>415</v>
      </c>
      <c r="B12" s="36">
        <v>0.12</v>
      </c>
      <c r="C12" s="17" t="s">
        <v>416</v>
      </c>
      <c r="F12" s="124" t="s">
        <v>417</v>
      </c>
    </row>
    <row r="13" spans="1:6" x14ac:dyDescent="0.25">
      <c r="A13" s="123" t="s">
        <v>418</v>
      </c>
      <c r="B13" s="40">
        <v>0.02</v>
      </c>
      <c r="C13" s="17" t="s">
        <v>419</v>
      </c>
      <c r="F13" s="124" t="s">
        <v>420</v>
      </c>
    </row>
    <row r="14" spans="1:6" x14ac:dyDescent="0.25">
      <c r="A14" s="123" t="s">
        <v>421</v>
      </c>
      <c r="B14" s="67">
        <v>0.5</v>
      </c>
      <c r="C14" s="17" t="s">
        <v>422</v>
      </c>
      <c r="F14" s="124" t="s">
        <v>423</v>
      </c>
    </row>
    <row r="15" spans="1:6" x14ac:dyDescent="0.25">
      <c r="A15" s="123" t="s">
        <v>424</v>
      </c>
      <c r="B15" s="40">
        <v>0.25</v>
      </c>
      <c r="C15" s="17" t="s">
        <v>419</v>
      </c>
      <c r="F15" s="124" t="s">
        <v>425</v>
      </c>
    </row>
    <row r="16" spans="1:6" x14ac:dyDescent="0.25">
      <c r="A16" s="123" t="s">
        <v>426</v>
      </c>
      <c r="B16" s="34">
        <v>7</v>
      </c>
      <c r="C16" s="17" t="s">
        <v>146</v>
      </c>
      <c r="F16" s="124" t="s">
        <v>427</v>
      </c>
    </row>
    <row r="17" spans="1:6" x14ac:dyDescent="0.25">
      <c r="A17" s="123" t="s">
        <v>428</v>
      </c>
      <c r="B17" s="34">
        <v>7</v>
      </c>
      <c r="C17" s="17" t="s">
        <v>146</v>
      </c>
      <c r="F17" s="124" t="s">
        <v>429</v>
      </c>
    </row>
    <row r="19" spans="1:6" ht="15.75" x14ac:dyDescent="0.25">
      <c r="A19" s="122" t="s">
        <v>430</v>
      </c>
    </row>
    <row r="20" spans="1:6" x14ac:dyDescent="0.25">
      <c r="A20" s="123" t="s">
        <v>431</v>
      </c>
      <c r="B20" s="68">
        <f>B5*(1-B6)*B7</f>
        <v>3.3399999999999992E-2</v>
      </c>
      <c r="F20" s="124" t="s">
        <v>432</v>
      </c>
    </row>
    <row r="21" spans="1:6" x14ac:dyDescent="0.25">
      <c r="A21" s="123" t="s">
        <v>433</v>
      </c>
      <c r="B21" s="68">
        <f>B8*B9/1000000</f>
        <v>1.2E-2</v>
      </c>
      <c r="F21" s="124" t="s">
        <v>434</v>
      </c>
    </row>
    <row r="22" spans="1:6" x14ac:dyDescent="0.25">
      <c r="A22" s="123" t="s">
        <v>435</v>
      </c>
      <c r="B22" s="68">
        <f>B10*B11/1000000</f>
        <v>2.5000000000000001E-5</v>
      </c>
      <c r="F22" s="124" t="s">
        <v>436</v>
      </c>
    </row>
    <row r="23" spans="1:6" ht="15.75" x14ac:dyDescent="0.25">
      <c r="A23" s="133" t="s">
        <v>437</v>
      </c>
      <c r="B23" s="69">
        <f>B20+B21+B22</f>
        <v>4.5424999999999993E-2</v>
      </c>
    </row>
    <row r="25" spans="1:6" ht="15.75" x14ac:dyDescent="0.25">
      <c r="A25" s="122" t="s">
        <v>438</v>
      </c>
    </row>
    <row r="26" spans="1:6" x14ac:dyDescent="0.25">
      <c r="A26" s="123" t="s">
        <v>439</v>
      </c>
      <c r="B26" s="68">
        <f>B5*B12/1024</f>
        <v>2.3437499999999999E-3</v>
      </c>
      <c r="F26" s="124" t="s">
        <v>440</v>
      </c>
    </row>
    <row r="27" spans="1:6" x14ac:dyDescent="0.25">
      <c r="A27" s="123" t="s">
        <v>441</v>
      </c>
      <c r="B27" s="68">
        <f>B26*B13*(B16*12)</f>
        <v>3.9375E-3</v>
      </c>
      <c r="F27" s="124" t="s">
        <v>442</v>
      </c>
    </row>
    <row r="28" spans="1:6" x14ac:dyDescent="0.25">
      <c r="A28" s="123" t="s">
        <v>443</v>
      </c>
      <c r="B28" s="68">
        <f>B26*B13*(B17*12)</f>
        <v>3.9375E-3</v>
      </c>
      <c r="F28" s="124" t="s">
        <v>444</v>
      </c>
    </row>
    <row r="29" spans="1:6" x14ac:dyDescent="0.25">
      <c r="A29" s="123" t="s">
        <v>445</v>
      </c>
      <c r="B29" s="68">
        <f>(B14/1024)*B15*(B16*12)</f>
        <v>1.025390625E-2</v>
      </c>
      <c r="F29" s="124" t="s">
        <v>446</v>
      </c>
    </row>
    <row r="31" spans="1:6" ht="15.75" x14ac:dyDescent="0.25">
      <c r="A31" s="133" t="s">
        <v>447</v>
      </c>
      <c r="B31" s="69">
        <f>B23+B27+B29</f>
        <v>5.961640624999999E-2</v>
      </c>
      <c r="F31" s="124" t="s">
        <v>448</v>
      </c>
    </row>
    <row r="32" spans="1:6" ht="15.75" x14ac:dyDescent="0.25">
      <c r="A32" s="133" t="s">
        <v>449</v>
      </c>
      <c r="B32" s="69">
        <f>B31+B28</f>
        <v>6.3553906249999986E-2</v>
      </c>
      <c r="F32" s="124" t="s">
        <v>450</v>
      </c>
    </row>
    <row r="34" spans="1:5" ht="15.75" x14ac:dyDescent="0.25">
      <c r="A34" s="122" t="s">
        <v>451</v>
      </c>
    </row>
    <row r="35" spans="1:5" x14ac:dyDescent="0.25">
      <c r="A35" s="137" t="s">
        <v>452</v>
      </c>
      <c r="B35" s="2" t="s">
        <v>453</v>
      </c>
      <c r="C35" s="2" t="s">
        <v>454</v>
      </c>
      <c r="D35" s="2" t="s">
        <v>455</v>
      </c>
      <c r="E35" s="2" t="s">
        <v>456</v>
      </c>
    </row>
    <row r="36" spans="1:5" x14ac:dyDescent="0.25">
      <c r="A36" s="138">
        <v>1</v>
      </c>
      <c r="B36" s="52">
        <f>1*12</f>
        <v>12</v>
      </c>
      <c r="C36" s="70">
        <f>B26*B13*MIN(1,B16+B17)*12</f>
        <v>5.6250000000000007E-4</v>
      </c>
      <c r="D36" s="70">
        <f>(B14/1024)*B15*MIN(1,B16)*12</f>
        <v>1.46484375E-3</v>
      </c>
      <c r="E36" s="70">
        <f>B23+C36+D36</f>
        <v>4.7452343749999994E-2</v>
      </c>
    </row>
    <row r="37" spans="1:5" x14ac:dyDescent="0.25">
      <c r="A37" s="138">
        <v>2</v>
      </c>
      <c r="B37" s="52">
        <f>2*12</f>
        <v>24</v>
      </c>
      <c r="C37" s="70">
        <f>B26*B13*MIN(2,B16+B17)*12</f>
        <v>1.1250000000000001E-3</v>
      </c>
      <c r="D37" s="70">
        <f>(B14/1024)*B15*MIN(2,B16)*12</f>
        <v>2.9296875E-3</v>
      </c>
      <c r="E37" s="70">
        <f>B23+C37+D37</f>
        <v>4.9479687499999994E-2</v>
      </c>
    </row>
    <row r="38" spans="1:5" x14ac:dyDescent="0.25">
      <c r="A38" s="138">
        <v>3</v>
      </c>
      <c r="B38" s="52">
        <f>3*12</f>
        <v>36</v>
      </c>
      <c r="C38" s="70">
        <f>B26*B13*MIN(3,B16+B17)*12</f>
        <v>1.6875000000000002E-3</v>
      </c>
      <c r="D38" s="70">
        <f>(B14/1024)*B15*MIN(3,B16)*12</f>
        <v>4.39453125E-3</v>
      </c>
      <c r="E38" s="70">
        <f>B23+C38+D38</f>
        <v>5.1507031249999995E-2</v>
      </c>
    </row>
    <row r="39" spans="1:5" x14ac:dyDescent="0.25">
      <c r="A39" s="138">
        <v>4</v>
      </c>
      <c r="B39" s="52">
        <f>4*12</f>
        <v>48</v>
      </c>
      <c r="C39" s="70">
        <f>B26*B13*MIN(4,B16+B17)*12</f>
        <v>2.2500000000000003E-3</v>
      </c>
      <c r="D39" s="70">
        <f>(B14/1024)*B15*MIN(4,B16)*12</f>
        <v>5.859375E-3</v>
      </c>
      <c r="E39" s="70">
        <f>B23+C39+D39</f>
        <v>5.3534374999999995E-2</v>
      </c>
    </row>
    <row r="40" spans="1:5" x14ac:dyDescent="0.25">
      <c r="A40" s="138">
        <v>5</v>
      </c>
      <c r="B40" s="52">
        <f>5*12</f>
        <v>60</v>
      </c>
      <c r="C40" s="70">
        <f>B26*B13*MIN(5,B16+B17)*12</f>
        <v>2.8124999999999999E-3</v>
      </c>
      <c r="D40" s="70">
        <f>(B14/1024)*B15*MIN(5,B16)*12</f>
        <v>7.32421875E-3</v>
      </c>
      <c r="E40" s="70">
        <f>B23+C40+D40</f>
        <v>5.5561718749999996E-2</v>
      </c>
    </row>
    <row r="41" spans="1:5" x14ac:dyDescent="0.25">
      <c r="A41" s="138">
        <v>6</v>
      </c>
      <c r="B41" s="52">
        <f>6*12</f>
        <v>72</v>
      </c>
      <c r="C41" s="70">
        <f>B26*B13*MIN(6,B16+B17)*12</f>
        <v>3.3750000000000004E-3</v>
      </c>
      <c r="D41" s="70">
        <f>(B14/1024)*B15*MIN(6,B16)*12</f>
        <v>8.7890625E-3</v>
      </c>
      <c r="E41" s="70">
        <f>B23+C41+D41</f>
        <v>5.7589062499999996E-2</v>
      </c>
    </row>
    <row r="42" spans="1:5" x14ac:dyDescent="0.25">
      <c r="A42" s="138">
        <v>7</v>
      </c>
      <c r="B42" s="52">
        <f>7*12</f>
        <v>84</v>
      </c>
      <c r="C42" s="70">
        <f>B26*B13*MIN(7,B16+B17)*12</f>
        <v>3.9375E-3</v>
      </c>
      <c r="D42" s="70">
        <f>(B14/1024)*B15*MIN(7,B16)*12</f>
        <v>1.025390625E-2</v>
      </c>
      <c r="E42" s="70">
        <f>B23+C42+D42</f>
        <v>5.961640624999999E-2</v>
      </c>
    </row>
    <row r="43" spans="1:5" x14ac:dyDescent="0.25">
      <c r="A43" s="138">
        <v>8</v>
      </c>
      <c r="B43" s="52">
        <f>8*12</f>
        <v>96</v>
      </c>
      <c r="C43" s="70">
        <f>B26*B13*MIN(8,B16+B17)*12</f>
        <v>4.5000000000000005E-3</v>
      </c>
      <c r="D43" s="70">
        <f>(B14/1024)*B15*MIN(8,B16)*12</f>
        <v>1.025390625E-2</v>
      </c>
      <c r="E43" s="70">
        <f>B23+C43+D43</f>
        <v>6.0178906249999997E-2</v>
      </c>
    </row>
    <row r="44" spans="1:5" x14ac:dyDescent="0.25">
      <c r="A44" s="138">
        <v>9</v>
      </c>
      <c r="B44" s="52">
        <f>9*12</f>
        <v>108</v>
      </c>
      <c r="C44" s="70">
        <f>B26*B13*MIN(9,B16+B17)*12</f>
        <v>5.0625000000000002E-3</v>
      </c>
      <c r="D44" s="70">
        <f>(B14/1024)*B15*MIN(9,B16)*12</f>
        <v>1.025390625E-2</v>
      </c>
      <c r="E44" s="70">
        <f>B23+C44+D44</f>
        <v>6.0741406249999991E-2</v>
      </c>
    </row>
    <row r="45" spans="1:5" x14ac:dyDescent="0.25">
      <c r="A45" s="138">
        <v>10</v>
      </c>
      <c r="B45" s="52">
        <f>10*12</f>
        <v>120</v>
      </c>
      <c r="C45" s="70">
        <f>B26*B13*MIN(10,B16+B17)*12</f>
        <v>5.6249999999999998E-3</v>
      </c>
      <c r="D45" s="70">
        <f>(B14/1024)*B15*MIN(10,B16)*12</f>
        <v>1.025390625E-2</v>
      </c>
      <c r="E45" s="70">
        <f>B23+C45+D45</f>
        <v>6.1303906249999991E-2</v>
      </c>
    </row>
    <row r="46" spans="1:5" x14ac:dyDescent="0.25">
      <c r="A46" s="138">
        <v>11</v>
      </c>
      <c r="B46" s="52">
        <f>11*12</f>
        <v>132</v>
      </c>
      <c r="C46" s="70">
        <f>B26*B13*MIN(11,B16+B17)*12</f>
        <v>6.1875000000000003E-3</v>
      </c>
      <c r="D46" s="70">
        <f>(B14/1024)*B15*MIN(11,B16)*12</f>
        <v>1.025390625E-2</v>
      </c>
      <c r="E46" s="70">
        <f>B23+C46+D46</f>
        <v>6.1866406249999992E-2</v>
      </c>
    </row>
    <row r="47" spans="1:5" x14ac:dyDescent="0.25">
      <c r="A47" s="138">
        <v>12</v>
      </c>
      <c r="B47" s="52">
        <f>12*12</f>
        <v>144</v>
      </c>
      <c r="C47" s="70">
        <f>B26*B13*MIN(12,B16+B17)*12</f>
        <v>6.7500000000000008E-3</v>
      </c>
      <c r="D47" s="70">
        <f>(B14/1024)*B15*MIN(12,B16)*12</f>
        <v>1.025390625E-2</v>
      </c>
      <c r="E47" s="70">
        <f>B23+C47+D47</f>
        <v>6.2428906249999992E-2</v>
      </c>
    </row>
    <row r="48" spans="1:5" x14ac:dyDescent="0.25">
      <c r="A48" s="138">
        <v>13</v>
      </c>
      <c r="B48" s="52">
        <f>13*12</f>
        <v>156</v>
      </c>
      <c r="C48" s="70">
        <f>B26*B13*MIN(13,B16+B17)*12</f>
        <v>7.3124999999999996E-3</v>
      </c>
      <c r="D48" s="70">
        <f>(B14/1024)*B15*MIN(13,B16)*12</f>
        <v>1.025390625E-2</v>
      </c>
      <c r="E48" s="70">
        <f>B23+C48+D48</f>
        <v>6.2991406249999993E-2</v>
      </c>
    </row>
    <row r="49" spans="1:5" x14ac:dyDescent="0.25">
      <c r="A49" s="138">
        <v>14</v>
      </c>
      <c r="B49" s="52">
        <f>14*12</f>
        <v>168</v>
      </c>
      <c r="C49" s="70">
        <f>B26*B13*MIN(14,B16+B17)*12</f>
        <v>7.8750000000000001E-3</v>
      </c>
      <c r="D49" s="70">
        <f>(B14/1024)*B15*MIN(14,B16)*12</f>
        <v>1.025390625E-2</v>
      </c>
      <c r="E49" s="70">
        <f>B23+C49+D49</f>
        <v>6.3553906249999986E-2</v>
      </c>
    </row>
    <row r="50" spans="1:5" ht="25.5" x14ac:dyDescent="0.25">
      <c r="A50" s="124" t="s">
        <v>457</v>
      </c>
    </row>
  </sheetData>
  <mergeCells count="2">
    <mergeCell ref="A2:F2"/>
    <mergeCell ref="A1:F1"/>
  </mergeCells>
  <conditionalFormatting sqref="A1:F50">
    <cfRule type="expression" dxfId="47" priority="1">
      <formula>_xludf.ISFORMULA(A1)</formula>
    </cfRule>
    <cfRule type="expression" dxfId="46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2E7D32"/>
  </sheetPr>
  <dimension ref="A1:C9"/>
  <sheetViews>
    <sheetView showGridLines="0" workbookViewId="0"/>
  </sheetViews>
  <sheetFormatPr defaultRowHeight="15" x14ac:dyDescent="0.25"/>
  <cols>
    <col min="1" max="1" width="27.28515625" bestFit="1" customWidth="1"/>
    <col min="2" max="2" width="19" bestFit="1" customWidth="1"/>
    <col min="3" max="3" width="46" customWidth="1"/>
  </cols>
  <sheetData>
    <row r="1" spans="1:3" ht="30" customHeight="1" x14ac:dyDescent="0.25">
      <c r="A1" s="113" t="s">
        <v>458</v>
      </c>
      <c r="B1" s="96"/>
      <c r="C1" s="96"/>
    </row>
    <row r="2" spans="1:3" ht="18" customHeight="1" x14ac:dyDescent="0.25">
      <c r="A2" s="95" t="s">
        <v>459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376</v>
      </c>
      <c r="B4" s="65">
        <f>'AI-Scribe &amp; Azure'!B31</f>
        <v>5.961640624999999E-2</v>
      </c>
    </row>
    <row r="5" spans="1:3" x14ac:dyDescent="0.25">
      <c r="A5" s="13" t="s">
        <v>348</v>
      </c>
      <c r="B5" s="28">
        <f>('Proforma (monthly)'!L77*'Throughput → collections'!B8/12)</f>
        <v>595</v>
      </c>
    </row>
    <row r="6" spans="1:3" x14ac:dyDescent="0.25">
      <c r="A6" s="13" t="s">
        <v>39</v>
      </c>
      <c r="B6" s="28">
        <f>'Proforma (monthly)'!E77</f>
        <v>866</v>
      </c>
    </row>
    <row r="7" spans="1:3" x14ac:dyDescent="0.25">
      <c r="A7" s="13" t="s">
        <v>460</v>
      </c>
      <c r="B7" s="28">
        <f>'Proforma (monthly)'!E77*('Proforma (monthly)'!L77*'Throughput → collections'!B8/12)</f>
        <v>515270</v>
      </c>
    </row>
    <row r="8" spans="1:3" x14ac:dyDescent="0.25">
      <c r="A8" s="13" t="s">
        <v>461</v>
      </c>
      <c r="B8" s="27">
        <f>'Proforma (monthly)'!E77*('Proforma (monthly)'!L77*'Throughput → collections'!B8/12)*'AI-Scribe &amp; Azure'!B31</f>
        <v>30718.545648437495</v>
      </c>
    </row>
    <row r="9" spans="1:3" x14ac:dyDescent="0.25">
      <c r="A9" s="13" t="s">
        <v>462</v>
      </c>
      <c r="B9" s="27">
        <f>'Proforma (monthly)'!E77*('Proforma (monthly)'!L77*'Throughput → collections'!B8/12)*'AI-Scribe &amp; Azure'!B31*12</f>
        <v>368622.54778124997</v>
      </c>
    </row>
  </sheetData>
  <mergeCells count="2">
    <mergeCell ref="A1:C1"/>
    <mergeCell ref="A2:C2"/>
  </mergeCells>
  <conditionalFormatting sqref="A1:C9">
    <cfRule type="expression" dxfId="45" priority="1">
      <formula>_xludf.ISFORMULA(A1)</formula>
    </cfRule>
    <cfRule type="expression" dxfId="4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2E7D32"/>
  </sheetPr>
  <dimension ref="A1:C7"/>
  <sheetViews>
    <sheetView showGridLines="0" workbookViewId="0"/>
  </sheetViews>
  <sheetFormatPr defaultRowHeight="15" x14ac:dyDescent="0.25"/>
  <cols>
    <col min="1" max="1" width="32.85546875" bestFit="1" customWidth="1"/>
    <col min="2" max="2" width="30" bestFit="1" customWidth="1"/>
    <col min="3" max="3" width="30.7109375" bestFit="1" customWidth="1"/>
  </cols>
  <sheetData>
    <row r="1" spans="1:3" ht="30" customHeight="1" x14ac:dyDescent="0.25">
      <c r="A1" s="113" t="s">
        <v>68</v>
      </c>
      <c r="B1" s="96"/>
      <c r="C1" s="96"/>
    </row>
    <row r="2" spans="1:3" ht="18" customHeight="1" x14ac:dyDescent="0.25">
      <c r="A2" s="95" t="s">
        <v>463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464</v>
      </c>
      <c r="B4" s="65">
        <f>'Cost-to-serve (per encounter-cl'!B5</f>
        <v>0.45</v>
      </c>
    </row>
    <row r="5" spans="1:3" x14ac:dyDescent="0.25">
      <c r="A5" s="13" t="s">
        <v>465</v>
      </c>
      <c r="B5" s="29">
        <f>'Proforma (monthly)'!H77/'Proforma (monthly)'!F77</f>
        <v>0.21669678445791721</v>
      </c>
    </row>
    <row r="6" spans="1:3" x14ac:dyDescent="0.25">
      <c r="A6" s="13" t="s">
        <v>466</v>
      </c>
      <c r="B6" s="27">
        <f>'Proforma (monthly)'!H77/'Proforma (monthly)'!E77</f>
        <v>1061.3541423961942</v>
      </c>
      <c r="C6" s="17" t="s">
        <v>467</v>
      </c>
    </row>
    <row r="7" spans="1:3" x14ac:dyDescent="0.25">
      <c r="A7" s="13" t="s">
        <v>468</v>
      </c>
      <c r="B7" s="71" t="s">
        <v>469</v>
      </c>
      <c r="C7" s="17" t="s">
        <v>470</v>
      </c>
    </row>
  </sheetData>
  <mergeCells count="2">
    <mergeCell ref="A1:C1"/>
    <mergeCell ref="A2:C2"/>
  </mergeCells>
  <conditionalFormatting sqref="A1:C7">
    <cfRule type="expression" dxfId="43" priority="1">
      <formula>_xludf.ISFORMULA(A1)</formula>
    </cfRule>
    <cfRule type="expression" dxfId="4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A8A83"/>
  </sheetPr>
  <dimension ref="A1:C11"/>
  <sheetViews>
    <sheetView showGridLines="0" workbookViewId="0"/>
  </sheetViews>
  <sheetFormatPr defaultRowHeight="15" x14ac:dyDescent="0.25"/>
  <cols>
    <col min="1" max="1" width="27.85546875" bestFit="1" customWidth="1"/>
    <col min="2" max="2" width="21.85546875" bestFit="1" customWidth="1"/>
    <col min="3" max="3" width="34" customWidth="1"/>
  </cols>
  <sheetData>
    <row r="1" spans="1:3" ht="30" customHeight="1" x14ac:dyDescent="0.25">
      <c r="A1" s="98" t="s">
        <v>35</v>
      </c>
      <c r="B1" s="96"/>
      <c r="C1" s="96"/>
    </row>
    <row r="2" spans="1:3" ht="18" customHeight="1" x14ac:dyDescent="0.25">
      <c r="A2" s="95" t="s">
        <v>36</v>
      </c>
      <c r="B2" s="96"/>
      <c r="C2" s="96"/>
    </row>
    <row r="4" spans="1:3" x14ac:dyDescent="0.25">
      <c r="A4" s="18" t="s">
        <v>11</v>
      </c>
      <c r="B4" s="19">
        <f>'Proforma (monthly)'!G77</f>
        <v>50898735.186000004</v>
      </c>
    </row>
    <row r="5" spans="1:3" x14ac:dyDescent="0.25">
      <c r="A5" s="18" t="s">
        <v>37</v>
      </c>
      <c r="B5" s="20">
        <f>Returns!B14</f>
        <v>25.449367593000002</v>
      </c>
    </row>
    <row r="6" spans="1:3" x14ac:dyDescent="0.25">
      <c r="A6" s="18" t="s">
        <v>38</v>
      </c>
      <c r="B6" s="21">
        <f>Returns!B16</f>
        <v>0.71506071492798262</v>
      </c>
    </row>
    <row r="7" spans="1:3" x14ac:dyDescent="0.25">
      <c r="A7" s="18" t="s">
        <v>15</v>
      </c>
      <c r="B7" s="19">
        <f>Returns!B19</f>
        <v>33123430.943501171</v>
      </c>
    </row>
    <row r="8" spans="1:3" x14ac:dyDescent="0.25">
      <c r="A8" s="18" t="s">
        <v>39</v>
      </c>
      <c r="B8" s="22">
        <f>'Proforma (monthly)'!E77</f>
        <v>866</v>
      </c>
    </row>
    <row r="9" spans="1:3" x14ac:dyDescent="0.25">
      <c r="A9" s="18" t="s">
        <v>40</v>
      </c>
      <c r="B9" s="19">
        <f>'Proforma (monthly)'!N77</f>
        <v>4897.8767500000004</v>
      </c>
    </row>
    <row r="10" spans="1:3" x14ac:dyDescent="0.25">
      <c r="A10" s="18" t="s">
        <v>41</v>
      </c>
      <c r="B10" s="19">
        <f>'Financing &amp; returns'!B7</f>
        <v>4000000</v>
      </c>
    </row>
    <row r="11" spans="1:3" x14ac:dyDescent="0.25">
      <c r="A11" s="18" t="s">
        <v>42</v>
      </c>
      <c r="B11" s="23" t="str">
        <f>IF(MIN('Proforma (monthly)'!K6:K77)&lt;0,"⚠ INSOLVENT",IF(MIN('Proforma (monthly)'!K6:K77)&lt;'Growth &amp; timing'!B13,"▲ solvent, thin (below $500K cushion)","✓ above $500K cushion"))</f>
        <v>✓ above $500K cushion</v>
      </c>
    </row>
  </sheetData>
  <mergeCells count="2">
    <mergeCell ref="A1:C1"/>
    <mergeCell ref="A2:C2"/>
  </mergeCells>
  <conditionalFormatting sqref="A1:C11">
    <cfRule type="expression" dxfId="99" priority="1">
      <formula>_xludf.ISFORMULA(A1)</formula>
    </cfRule>
    <cfRule type="expression" dxfId="9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2E7D32"/>
  </sheetPr>
  <dimension ref="A1:H18"/>
  <sheetViews>
    <sheetView showGridLines="0" workbookViewId="0"/>
  </sheetViews>
  <sheetFormatPr defaultRowHeight="15" x14ac:dyDescent="0.25"/>
  <cols>
    <col min="1" max="1" width="25.5703125" bestFit="1" customWidth="1"/>
    <col min="2" max="8" width="5.7109375" customWidth="1"/>
  </cols>
  <sheetData>
    <row r="1" spans="1:8" ht="30" customHeight="1" x14ac:dyDescent="0.25">
      <c r="A1" s="114" t="s">
        <v>471</v>
      </c>
      <c r="B1" s="96"/>
      <c r="C1" s="96"/>
      <c r="D1" s="96"/>
      <c r="E1" s="96"/>
      <c r="F1" s="96"/>
      <c r="G1" s="96"/>
      <c r="H1" s="96"/>
    </row>
    <row r="2" spans="1:8" ht="18" customHeight="1" x14ac:dyDescent="0.25">
      <c r="A2" s="95" t="s">
        <v>472</v>
      </c>
      <c r="B2" s="96"/>
      <c r="C2" s="96"/>
      <c r="D2" s="96"/>
      <c r="E2" s="96"/>
      <c r="F2" s="96"/>
      <c r="G2" s="96"/>
      <c r="H2" s="96"/>
    </row>
    <row r="4" spans="1:8" x14ac:dyDescent="0.25">
      <c r="B4" s="33" t="s">
        <v>473</v>
      </c>
      <c r="C4" s="31" t="s">
        <v>81</v>
      </c>
      <c r="D4" s="31" t="s">
        <v>82</v>
      </c>
      <c r="E4" s="31" t="s">
        <v>83</v>
      </c>
      <c r="F4" s="31" t="s">
        <v>84</v>
      </c>
      <c r="G4" s="31" t="s">
        <v>85</v>
      </c>
      <c r="H4" s="31" t="s">
        <v>86</v>
      </c>
    </row>
    <row r="5" spans="1:8" x14ac:dyDescent="0.25">
      <c r="A5" s="13" t="s">
        <v>244</v>
      </c>
      <c r="B5" s="45" t="s">
        <v>245</v>
      </c>
      <c r="C5" s="61">
        <f>'Staffing &amp; FTE'!C33</f>
        <v>2</v>
      </c>
      <c r="D5" s="61">
        <f>'Staffing &amp; FTE'!C45</f>
        <v>3</v>
      </c>
      <c r="E5" s="61">
        <f>'Staffing &amp; FTE'!C57</f>
        <v>3</v>
      </c>
      <c r="F5" s="61">
        <f>'Staffing &amp; FTE'!C69</f>
        <v>3</v>
      </c>
      <c r="G5" s="61">
        <f>'Staffing &amp; FTE'!C81</f>
        <v>3</v>
      </c>
      <c r="H5" s="61">
        <f>'Staffing &amp; FTE'!C93</f>
        <v>3</v>
      </c>
    </row>
    <row r="6" spans="1:8" x14ac:dyDescent="0.25">
      <c r="A6" s="13" t="s">
        <v>247</v>
      </c>
      <c r="B6" s="45" t="s">
        <v>245</v>
      </c>
      <c r="C6" s="61">
        <f>'Staffing &amp; FTE'!D33</f>
        <v>1</v>
      </c>
      <c r="D6" s="61">
        <f>'Staffing &amp; FTE'!D45</f>
        <v>3</v>
      </c>
      <c r="E6" s="61">
        <f>'Staffing &amp; FTE'!D57</f>
        <v>4</v>
      </c>
      <c r="F6" s="61">
        <f>'Staffing &amp; FTE'!D69</f>
        <v>4</v>
      </c>
      <c r="G6" s="61">
        <f>'Staffing &amp; FTE'!D81</f>
        <v>4</v>
      </c>
      <c r="H6" s="61">
        <f>'Staffing &amp; FTE'!D93</f>
        <v>4</v>
      </c>
    </row>
    <row r="7" spans="1:8" x14ac:dyDescent="0.25">
      <c r="A7" s="13" t="s">
        <v>248</v>
      </c>
      <c r="B7" s="45" t="s">
        <v>245</v>
      </c>
      <c r="C7" s="61">
        <f>'Staffing &amp; FTE'!E33</f>
        <v>0</v>
      </c>
      <c r="D7" s="61">
        <f>'Staffing &amp; FTE'!E45</f>
        <v>0</v>
      </c>
      <c r="E7" s="61">
        <f>'Staffing &amp; FTE'!E57</f>
        <v>1</v>
      </c>
      <c r="F7" s="61">
        <f>'Staffing &amp; FTE'!E69</f>
        <v>2</v>
      </c>
      <c r="G7" s="61">
        <f>'Staffing &amp; FTE'!E81</f>
        <v>3</v>
      </c>
      <c r="H7" s="61">
        <f>'Staffing &amp; FTE'!E93</f>
        <v>3</v>
      </c>
    </row>
    <row r="8" spans="1:8" x14ac:dyDescent="0.25">
      <c r="A8" s="13" t="s">
        <v>249</v>
      </c>
      <c r="B8" s="45" t="s">
        <v>250</v>
      </c>
      <c r="C8" s="61">
        <f>'Staffing &amp; FTE'!F33</f>
        <v>0</v>
      </c>
      <c r="D8" s="61">
        <f>'Staffing &amp; FTE'!F45</f>
        <v>1</v>
      </c>
      <c r="E8" s="61">
        <f>'Staffing &amp; FTE'!F57</f>
        <v>1</v>
      </c>
      <c r="F8" s="61">
        <f>'Staffing &amp; FTE'!F69</f>
        <v>1</v>
      </c>
      <c r="G8" s="61">
        <f>'Staffing &amp; FTE'!F81</f>
        <v>2</v>
      </c>
      <c r="H8" s="61">
        <f>'Staffing &amp; FTE'!F93</f>
        <v>4</v>
      </c>
    </row>
    <row r="9" spans="1:8" x14ac:dyDescent="0.25">
      <c r="A9" s="13" t="s">
        <v>252</v>
      </c>
      <c r="B9" s="45" t="s">
        <v>250</v>
      </c>
      <c r="C9" s="61">
        <f>'Staffing &amp; FTE'!G33</f>
        <v>0</v>
      </c>
      <c r="D9" s="61">
        <f>'Staffing &amp; FTE'!G45</f>
        <v>0</v>
      </c>
      <c r="E9" s="61">
        <f>'Staffing &amp; FTE'!G57</f>
        <v>1</v>
      </c>
      <c r="F9" s="61">
        <f>'Staffing &amp; FTE'!G69</f>
        <v>2</v>
      </c>
      <c r="G9" s="61">
        <f>'Staffing &amp; FTE'!G81</f>
        <v>3</v>
      </c>
      <c r="H9" s="61">
        <f>'Staffing &amp; FTE'!G93</f>
        <v>6</v>
      </c>
    </row>
    <row r="10" spans="1:8" x14ac:dyDescent="0.25">
      <c r="A10" s="13" t="s">
        <v>254</v>
      </c>
      <c r="B10" s="45" t="s">
        <v>250</v>
      </c>
      <c r="C10" s="61">
        <f>'Staffing &amp; FTE'!H33</f>
        <v>0</v>
      </c>
      <c r="D10" s="61">
        <f>'Staffing &amp; FTE'!H45</f>
        <v>0</v>
      </c>
      <c r="E10" s="61">
        <f>'Staffing &amp; FTE'!H57</f>
        <v>2</v>
      </c>
      <c r="F10" s="61">
        <f>'Staffing &amp; FTE'!H69</f>
        <v>3</v>
      </c>
      <c r="G10" s="61">
        <f>'Staffing &amp; FTE'!H81</f>
        <v>7</v>
      </c>
      <c r="H10" s="61">
        <f>'Staffing &amp; FTE'!H93</f>
        <v>15</v>
      </c>
    </row>
    <row r="11" spans="1:8" x14ac:dyDescent="0.25">
      <c r="A11" s="13" t="s">
        <v>255</v>
      </c>
      <c r="B11" s="45" t="s">
        <v>250</v>
      </c>
      <c r="C11" s="61">
        <f>'Staffing &amp; FTE'!I33</f>
        <v>0</v>
      </c>
      <c r="D11" s="61">
        <f>'Staffing &amp; FTE'!I45</f>
        <v>0</v>
      </c>
      <c r="E11" s="61">
        <f>'Staffing &amp; FTE'!I57</f>
        <v>1</v>
      </c>
      <c r="F11" s="61">
        <f>'Staffing &amp; FTE'!I69</f>
        <v>1</v>
      </c>
      <c r="G11" s="61">
        <f>'Staffing &amp; FTE'!I81</f>
        <v>2</v>
      </c>
      <c r="H11" s="61">
        <f>'Staffing &amp; FTE'!I93</f>
        <v>5</v>
      </c>
    </row>
    <row r="12" spans="1:8" x14ac:dyDescent="0.25">
      <c r="A12" s="13" t="s">
        <v>256</v>
      </c>
      <c r="B12" s="45" t="s">
        <v>250</v>
      </c>
      <c r="C12" s="61">
        <f>'Staffing &amp; FTE'!J33</f>
        <v>0</v>
      </c>
      <c r="D12" s="61">
        <f>'Staffing &amp; FTE'!J45</f>
        <v>0</v>
      </c>
      <c r="E12" s="61">
        <f>'Staffing &amp; FTE'!J57</f>
        <v>4</v>
      </c>
      <c r="F12" s="61">
        <f>'Staffing &amp; FTE'!J69</f>
        <v>8</v>
      </c>
      <c r="G12" s="61">
        <f>'Staffing &amp; FTE'!J81</f>
        <v>18</v>
      </c>
      <c r="H12" s="61">
        <f>'Staffing &amp; FTE'!J93</f>
        <v>41</v>
      </c>
    </row>
    <row r="13" spans="1:8" x14ac:dyDescent="0.25">
      <c r="A13" s="13" t="s">
        <v>257</v>
      </c>
      <c r="B13" s="45" t="s">
        <v>250</v>
      </c>
      <c r="C13" s="61">
        <f>'Staffing &amp; FTE'!K33</f>
        <v>0</v>
      </c>
      <c r="D13" s="61">
        <f>'Staffing &amp; FTE'!K45</f>
        <v>0</v>
      </c>
      <c r="E13" s="61">
        <f>'Staffing &amp; FTE'!K57</f>
        <v>1</v>
      </c>
      <c r="F13" s="61">
        <f>'Staffing &amp; FTE'!K69</f>
        <v>2</v>
      </c>
      <c r="G13" s="61">
        <f>'Staffing &amp; FTE'!K81</f>
        <v>3</v>
      </c>
      <c r="H13" s="61">
        <f>'Staffing &amp; FTE'!K93</f>
        <v>6</v>
      </c>
    </row>
    <row r="14" spans="1:8" x14ac:dyDescent="0.25">
      <c r="A14" s="13" t="s">
        <v>258</v>
      </c>
      <c r="B14" s="45" t="s">
        <v>245</v>
      </c>
      <c r="C14" s="61">
        <f>'Staffing &amp; FTE'!L33</f>
        <v>0</v>
      </c>
      <c r="D14" s="61">
        <f>'Staffing &amp; FTE'!L45</f>
        <v>0</v>
      </c>
      <c r="E14" s="61">
        <f>'Staffing &amp; FTE'!L57</f>
        <v>1</v>
      </c>
      <c r="F14" s="61">
        <f>'Staffing &amp; FTE'!L69</f>
        <v>2</v>
      </c>
      <c r="G14" s="61">
        <f>'Staffing &amp; FTE'!L81</f>
        <v>4</v>
      </c>
      <c r="H14" s="61">
        <f>'Staffing &amp; FTE'!L93</f>
        <v>9</v>
      </c>
    </row>
    <row r="15" spans="1:8" x14ac:dyDescent="0.25">
      <c r="A15" s="13" t="s">
        <v>259</v>
      </c>
      <c r="B15" s="45" t="s">
        <v>245</v>
      </c>
      <c r="C15" s="61">
        <f>'Staffing &amp; FTE'!M33</f>
        <v>0</v>
      </c>
      <c r="D15" s="61">
        <f>'Staffing &amp; FTE'!M45</f>
        <v>0</v>
      </c>
      <c r="E15" s="61">
        <f>'Staffing &amp; FTE'!M57</f>
        <v>1</v>
      </c>
      <c r="F15" s="61">
        <f>'Staffing &amp; FTE'!M69</f>
        <v>1</v>
      </c>
      <c r="G15" s="61">
        <f>'Staffing &amp; FTE'!M81</f>
        <v>2</v>
      </c>
      <c r="H15" s="61">
        <f>'Staffing &amp; FTE'!M93</f>
        <v>5</v>
      </c>
    </row>
    <row r="16" spans="1:8" x14ac:dyDescent="0.25">
      <c r="A16" s="13" t="s">
        <v>261</v>
      </c>
      <c r="B16" s="45" t="s">
        <v>245</v>
      </c>
      <c r="C16" s="61">
        <f>'Staffing &amp; FTE'!N33</f>
        <v>3</v>
      </c>
      <c r="D16" s="61">
        <f>'Staffing &amp; FTE'!N45</f>
        <v>3</v>
      </c>
      <c r="E16" s="61">
        <f>'Staffing &amp; FTE'!N57</f>
        <v>3</v>
      </c>
      <c r="F16" s="61">
        <f>'Staffing &amp; FTE'!N69</f>
        <v>3</v>
      </c>
      <c r="G16" s="61">
        <f>'Staffing &amp; FTE'!N81</f>
        <v>4</v>
      </c>
      <c r="H16" s="61">
        <f>'Staffing &amp; FTE'!N93</f>
        <v>4</v>
      </c>
    </row>
    <row r="17" spans="1:8" x14ac:dyDescent="0.25">
      <c r="A17" s="13" t="s">
        <v>262</v>
      </c>
      <c r="B17" s="45" t="s">
        <v>245</v>
      </c>
      <c r="C17" s="61">
        <f>'Staffing &amp; FTE'!P33</f>
        <v>0</v>
      </c>
      <c r="D17" s="61">
        <f>'Staffing &amp; FTE'!P45</f>
        <v>1</v>
      </c>
      <c r="E17" s="61">
        <f>'Staffing &amp; FTE'!P57</f>
        <v>1</v>
      </c>
      <c r="F17" s="61">
        <f>'Staffing &amp; FTE'!P69</f>
        <v>1</v>
      </c>
      <c r="G17" s="61">
        <f>'Staffing &amp; FTE'!P81</f>
        <v>2</v>
      </c>
      <c r="H17" s="61">
        <f>'Staffing &amp; FTE'!P93</f>
        <v>3</v>
      </c>
    </row>
    <row r="18" spans="1:8" x14ac:dyDescent="0.25">
      <c r="A18" s="18" t="s">
        <v>474</v>
      </c>
      <c r="C18" s="72">
        <f>'Staffing &amp; FTE'!S33</f>
        <v>6</v>
      </c>
      <c r="D18" s="72">
        <f>'Staffing &amp; FTE'!S45</f>
        <v>11</v>
      </c>
      <c r="E18" s="72">
        <f>'Staffing &amp; FTE'!S57</f>
        <v>24</v>
      </c>
      <c r="F18" s="72">
        <f>'Staffing &amp; FTE'!S69</f>
        <v>33</v>
      </c>
      <c r="G18" s="72">
        <f>'Staffing &amp; FTE'!S81</f>
        <v>57</v>
      </c>
      <c r="H18" s="72">
        <f>'Staffing &amp; FTE'!S93</f>
        <v>108</v>
      </c>
    </row>
  </sheetData>
  <mergeCells count="2">
    <mergeCell ref="A2:H2"/>
    <mergeCell ref="A1:H1"/>
  </mergeCells>
  <conditionalFormatting sqref="A1:H18">
    <cfRule type="expression" dxfId="41" priority="1">
      <formula>_xludf.ISFORMULA(A1)</formula>
    </cfRule>
    <cfRule type="expression" dxfId="4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2E7D32"/>
  </sheetPr>
  <dimension ref="A1:G7"/>
  <sheetViews>
    <sheetView showGridLines="0" workbookViewId="0"/>
  </sheetViews>
  <sheetFormatPr defaultRowHeight="15" x14ac:dyDescent="0.25"/>
  <cols>
    <col min="1" max="1" width="19.7109375" bestFit="1" customWidth="1"/>
    <col min="2" max="2" width="8.5703125" bestFit="1" customWidth="1"/>
    <col min="3" max="7" width="10.140625" bestFit="1" customWidth="1"/>
  </cols>
  <sheetData>
    <row r="1" spans="1:7" ht="30" customHeight="1" x14ac:dyDescent="0.25">
      <c r="A1" s="110" t="s">
        <v>475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476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477</v>
      </c>
      <c r="B5" s="27">
        <f>SUM('Staffing &amp; FTE'!R22:R33)</f>
        <v>545833.33333333337</v>
      </c>
      <c r="C5" s="27">
        <f>SUM('Staffing &amp; FTE'!R34:R45)</f>
        <v>1436666.6666666667</v>
      </c>
      <c r="D5" s="27">
        <f>SUM('Staffing &amp; FTE'!R46:R57)</f>
        <v>2131333.333333333</v>
      </c>
      <c r="E5" s="27">
        <f>SUM('Staffing &amp; FTE'!R58:R69)</f>
        <v>2651500</v>
      </c>
      <c r="F5" s="27">
        <f>SUM('Staffing &amp; FTE'!R70:R81)</f>
        <v>3216333.3333333335</v>
      </c>
      <c r="G5" s="27">
        <f>SUM('Staffing &amp; FTE'!R82:R93)</f>
        <v>4343000</v>
      </c>
    </row>
    <row r="6" spans="1:7" x14ac:dyDescent="0.25">
      <c r="A6" s="18" t="s">
        <v>478</v>
      </c>
      <c r="B6" s="32">
        <f>SUM('Proforma (monthly)'!I6:I17)</f>
        <v>799166.66666666674</v>
      </c>
      <c r="C6" s="32">
        <f>SUM('Proforma (monthly)'!I18:I29)</f>
        <v>1820808.2000000002</v>
      </c>
      <c r="D6" s="32">
        <f>SUM('Proforma (monthly)'!I30:I41)</f>
        <v>2699864.0536066666</v>
      </c>
      <c r="E6" s="32">
        <f>SUM('Proforma (monthly)'!I42:I53)</f>
        <v>3475673.8074248969</v>
      </c>
      <c r="F6" s="32">
        <f>SUM('Proforma (monthly)'!I54:I65)</f>
        <v>4402747.4566834308</v>
      </c>
      <c r="G6" s="32">
        <f>SUM('Proforma (monthly)'!I66:I77)</f>
        <v>6060711.9947175868</v>
      </c>
    </row>
    <row r="7" spans="1:7" x14ac:dyDescent="0.25">
      <c r="A7" s="13" t="s">
        <v>479</v>
      </c>
      <c r="B7" s="27">
        <f t="shared" ref="B7:G7" si="0">B6-B5</f>
        <v>253333.33333333337</v>
      </c>
      <c r="C7" s="27">
        <f t="shared" si="0"/>
        <v>384141.53333333344</v>
      </c>
      <c r="D7" s="27">
        <f t="shared" si="0"/>
        <v>568530.7202733336</v>
      </c>
      <c r="E7" s="27">
        <f t="shared" si="0"/>
        <v>824173.80742489686</v>
      </c>
      <c r="F7" s="27">
        <f t="shared" si="0"/>
        <v>1186414.1233500973</v>
      </c>
      <c r="G7" s="27">
        <f t="shared" si="0"/>
        <v>1717711.9947175868</v>
      </c>
    </row>
  </sheetData>
  <mergeCells count="2">
    <mergeCell ref="A2:G2"/>
    <mergeCell ref="A1:G1"/>
  </mergeCells>
  <conditionalFormatting sqref="A1:G7">
    <cfRule type="expression" dxfId="39" priority="1">
      <formula>_xludf.ISFORMULA(A1)</formula>
    </cfRule>
    <cfRule type="expression" dxfId="3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2E7D32"/>
  </sheetPr>
  <dimension ref="A1:C7"/>
  <sheetViews>
    <sheetView showGridLines="0" workbookViewId="0"/>
  </sheetViews>
  <sheetFormatPr defaultRowHeight="15" x14ac:dyDescent="0.25"/>
  <cols>
    <col min="1" max="1" width="22.5703125" bestFit="1" customWidth="1"/>
    <col min="2" max="2" width="32.42578125" bestFit="1" customWidth="1"/>
    <col min="3" max="3" width="36.140625" bestFit="1" customWidth="1"/>
  </cols>
  <sheetData>
    <row r="1" spans="1:3" ht="30" customHeight="1" x14ac:dyDescent="0.25">
      <c r="A1" s="112" t="s">
        <v>480</v>
      </c>
      <c r="B1" s="96"/>
      <c r="C1" s="96"/>
    </row>
    <row r="2" spans="1:3" ht="18" customHeight="1" x14ac:dyDescent="0.25">
      <c r="A2" s="95" t="s">
        <v>481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97</v>
      </c>
      <c r="B4" s="71" t="s">
        <v>482</v>
      </c>
      <c r="C4" s="17" t="s">
        <v>483</v>
      </c>
    </row>
    <row r="5" spans="1:3" x14ac:dyDescent="0.25">
      <c r="A5" s="13" t="s">
        <v>484</v>
      </c>
      <c r="B5" s="71" t="s">
        <v>485</v>
      </c>
      <c r="C5" s="17" t="s">
        <v>486</v>
      </c>
    </row>
    <row r="6" spans="1:3" x14ac:dyDescent="0.25">
      <c r="A6" s="13" t="s">
        <v>487</v>
      </c>
      <c r="B6" s="28">
        <f>'Staffing &amp; FTE'!S93</f>
        <v>108</v>
      </c>
      <c r="C6" s="17" t="s">
        <v>488</v>
      </c>
    </row>
    <row r="7" spans="1:3" x14ac:dyDescent="0.25">
      <c r="A7" s="13" t="s">
        <v>489</v>
      </c>
      <c r="B7" s="27">
        <f>3500*'Staffing &amp; FTE'!S93</f>
        <v>378000</v>
      </c>
      <c r="C7" s="17" t="s">
        <v>490</v>
      </c>
    </row>
  </sheetData>
  <mergeCells count="2">
    <mergeCell ref="A1:C1"/>
    <mergeCell ref="A2:C2"/>
  </mergeCells>
  <conditionalFormatting sqref="A1:C7">
    <cfRule type="expression" dxfId="37" priority="1">
      <formula>_xludf.ISFORMULA(A1)</formula>
    </cfRule>
    <cfRule type="expression" dxfId="3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2E7D32"/>
  </sheetPr>
  <dimension ref="A1:G8"/>
  <sheetViews>
    <sheetView showGridLines="0" workbookViewId="0"/>
  </sheetViews>
  <sheetFormatPr defaultRowHeight="15" x14ac:dyDescent="0.25"/>
  <cols>
    <col min="1" max="1" width="15.28515625" bestFit="1" customWidth="1"/>
    <col min="2" max="2" width="10.140625" bestFit="1" customWidth="1"/>
    <col min="3" max="4" width="10.85546875" bestFit="1" customWidth="1"/>
    <col min="5" max="6" width="10.140625" bestFit="1" customWidth="1"/>
    <col min="7" max="7" width="11.140625" bestFit="1" customWidth="1"/>
  </cols>
  <sheetData>
    <row r="1" spans="1:7" ht="30" customHeight="1" x14ac:dyDescent="0.25">
      <c r="A1" s="110" t="s">
        <v>491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492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493</v>
      </c>
      <c r="B5" s="27">
        <f>SUM('Proforma (monthly)'!J6:J17)</f>
        <v>-831039.99495334201</v>
      </c>
      <c r="C5" s="27">
        <f>SUM('Proforma (monthly)'!J18:J29)</f>
        <v>-1353236.3931177948</v>
      </c>
      <c r="D5" s="27">
        <f>SUM('Proforma (monthly)'!J30:J41)</f>
        <v>-1087970.285711267</v>
      </c>
      <c r="E5" s="27">
        <f>SUM('Proforma (monthly)'!J42:J53)</f>
        <v>1037805.9476779671</v>
      </c>
      <c r="F5" s="27">
        <f>SUM('Proforma (monthly)'!J54:J65)</f>
        <v>6942165.747244956</v>
      </c>
      <c r="G5" s="27">
        <f>SUM('Proforma (monthly)'!J66:J77)</f>
        <v>21416315.511048038</v>
      </c>
    </row>
    <row r="6" spans="1:7" x14ac:dyDescent="0.25">
      <c r="A6" s="13" t="s">
        <v>494</v>
      </c>
      <c r="B6" s="27">
        <f>'Financing &amp; returns'!B7</f>
        <v>4000000</v>
      </c>
      <c r="C6" s="73">
        <v>0</v>
      </c>
      <c r="D6" s="73">
        <v>0</v>
      </c>
      <c r="E6" s="73">
        <v>0</v>
      </c>
      <c r="F6" s="73">
        <v>0</v>
      </c>
      <c r="G6" s="73">
        <v>0</v>
      </c>
    </row>
    <row r="7" spans="1:7" x14ac:dyDescent="0.25">
      <c r="A7" s="13" t="s">
        <v>495</v>
      </c>
      <c r="B7" s="27">
        <f t="shared" ref="B7:G7" si="0">B5+B6</f>
        <v>3168960.0050466582</v>
      </c>
      <c r="C7" s="27">
        <f t="shared" si="0"/>
        <v>-1353236.3931177948</v>
      </c>
      <c r="D7" s="27">
        <f t="shared" si="0"/>
        <v>-1087970.285711267</v>
      </c>
      <c r="E7" s="27">
        <f t="shared" si="0"/>
        <v>1037805.9476779671</v>
      </c>
      <c r="F7" s="27">
        <f t="shared" si="0"/>
        <v>6942165.747244956</v>
      </c>
      <c r="G7" s="27">
        <f t="shared" si="0"/>
        <v>21416315.511048038</v>
      </c>
    </row>
    <row r="8" spans="1:7" x14ac:dyDescent="0.25">
      <c r="A8" s="18" t="s">
        <v>496</v>
      </c>
      <c r="B8" s="27">
        <f>'Proforma (monthly)'!K17</f>
        <v>3468960.0050466582</v>
      </c>
      <c r="C8" s="27">
        <f>'Proforma (monthly)'!K29</f>
        <v>2115723.6119288635</v>
      </c>
      <c r="D8" s="27">
        <f>'Proforma (monthly)'!K41</f>
        <v>1027753.3262175963</v>
      </c>
      <c r="E8" s="27">
        <f>'Proforma (monthly)'!K53</f>
        <v>2065559.2738955636</v>
      </c>
      <c r="F8" s="27">
        <f>'Proforma (monthly)'!K65</f>
        <v>9007725.0211405195</v>
      </c>
      <c r="G8" s="27">
        <f>'Proforma (monthly)'!K77</f>
        <v>30424040.532188557</v>
      </c>
    </row>
  </sheetData>
  <mergeCells count="2">
    <mergeCell ref="A2:G2"/>
    <mergeCell ref="A1:G1"/>
  </mergeCells>
  <conditionalFormatting sqref="A1:G8">
    <cfRule type="expression" dxfId="35" priority="1">
      <formula>_xludf.ISFORMULA(A1)</formula>
    </cfRule>
    <cfRule type="expression" dxfId="3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2E7D32"/>
  </sheetPr>
  <dimension ref="A1:G9"/>
  <sheetViews>
    <sheetView showGridLines="0" workbookViewId="0"/>
  </sheetViews>
  <sheetFormatPr defaultRowHeight="15" x14ac:dyDescent="0.25"/>
  <cols>
    <col min="1" max="1" width="17.42578125" bestFit="1" customWidth="1"/>
    <col min="2" max="2" width="10.140625" bestFit="1" customWidth="1"/>
    <col min="3" max="4" width="10.85546875" bestFit="1" customWidth="1"/>
    <col min="5" max="6" width="10.140625" bestFit="1" customWidth="1"/>
    <col min="7" max="7" width="11.140625" bestFit="1" customWidth="1"/>
  </cols>
  <sheetData>
    <row r="1" spans="1:7" ht="30" customHeight="1" x14ac:dyDescent="0.25">
      <c r="A1" s="110" t="s">
        <v>497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498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499</v>
      </c>
      <c r="B5" s="27">
        <f>SUM('Proforma (monthly)'!J6:J17)</f>
        <v>-831039.99495334201</v>
      </c>
      <c r="C5" s="27">
        <f>SUM('Proforma (monthly)'!J18:J29)</f>
        <v>-1353236.3931177948</v>
      </c>
      <c r="D5" s="27">
        <f>SUM('Proforma (monthly)'!J30:J41)</f>
        <v>-1087970.285711267</v>
      </c>
      <c r="E5" s="27">
        <f>SUM('Proforma (monthly)'!J42:J53)</f>
        <v>1037805.9476779671</v>
      </c>
      <c r="F5" s="27">
        <f>SUM('Proforma (monthly)'!J54:J65)</f>
        <v>6942165.747244956</v>
      </c>
      <c r="G5" s="27">
        <f>SUM('Proforma (monthly)'!J66:J77)</f>
        <v>21416315.511048038</v>
      </c>
    </row>
    <row r="6" spans="1:7" x14ac:dyDescent="0.25">
      <c r="A6" s="13" t="s">
        <v>500</v>
      </c>
      <c r="B6" s="27">
        <f>0</f>
        <v>0</v>
      </c>
      <c r="C6" s="27">
        <f>0</f>
        <v>0</v>
      </c>
      <c r="D6" s="27">
        <f>0</f>
        <v>0</v>
      </c>
      <c r="E6" s="27">
        <f>0</f>
        <v>0</v>
      </c>
      <c r="F6" s="27">
        <f>0</f>
        <v>0</v>
      </c>
      <c r="G6" s="27">
        <f>0</f>
        <v>0</v>
      </c>
    </row>
    <row r="7" spans="1:7" x14ac:dyDescent="0.25">
      <c r="A7" s="13" t="s">
        <v>501</v>
      </c>
      <c r="B7" s="27">
        <f>'Financing &amp; returns'!B7</f>
        <v>4000000</v>
      </c>
      <c r="C7" s="27">
        <f>0</f>
        <v>0</v>
      </c>
      <c r="D7" s="27">
        <f>0</f>
        <v>0</v>
      </c>
      <c r="E7" s="27">
        <f>0</f>
        <v>0</v>
      </c>
      <c r="F7" s="27">
        <f>0</f>
        <v>0</v>
      </c>
      <c r="G7" s="27">
        <f>0</f>
        <v>0</v>
      </c>
    </row>
    <row r="8" spans="1:7" x14ac:dyDescent="0.25">
      <c r="A8" s="18" t="s">
        <v>495</v>
      </c>
      <c r="B8" s="32">
        <f t="shared" ref="B8:G8" si="0">B5+B6+B7</f>
        <v>3168960.0050466582</v>
      </c>
      <c r="C8" s="32">
        <f t="shared" si="0"/>
        <v>-1353236.3931177948</v>
      </c>
      <c r="D8" s="32">
        <f t="shared" si="0"/>
        <v>-1087970.285711267</v>
      </c>
      <c r="E8" s="32">
        <f t="shared" si="0"/>
        <v>1037805.9476779671</v>
      </c>
      <c r="F8" s="32">
        <f t="shared" si="0"/>
        <v>6942165.747244956</v>
      </c>
      <c r="G8" s="32">
        <f t="shared" si="0"/>
        <v>21416315.511048038</v>
      </c>
    </row>
    <row r="9" spans="1:7" x14ac:dyDescent="0.25">
      <c r="A9" s="18" t="s">
        <v>496</v>
      </c>
      <c r="B9" s="32">
        <f>'Proforma (monthly)'!K17</f>
        <v>3468960.0050466582</v>
      </c>
      <c r="C9" s="32">
        <f>'Proforma (monthly)'!K29</f>
        <v>2115723.6119288635</v>
      </c>
      <c r="D9" s="32">
        <f>'Proforma (monthly)'!K41</f>
        <v>1027753.3262175963</v>
      </c>
      <c r="E9" s="32">
        <f>'Proforma (monthly)'!K53</f>
        <v>2065559.2738955636</v>
      </c>
      <c r="F9" s="32">
        <f>'Proforma (monthly)'!K65</f>
        <v>9007725.0211405195</v>
      </c>
      <c r="G9" s="32">
        <f>'Proforma (monthly)'!K77</f>
        <v>30424040.532188557</v>
      </c>
    </row>
  </sheetData>
  <mergeCells count="2">
    <mergeCell ref="A2:G2"/>
    <mergeCell ref="A1:G1"/>
  </mergeCells>
  <conditionalFormatting sqref="A1:G9">
    <cfRule type="expression" dxfId="33" priority="1">
      <formula>_xludf.ISFORMULA(A1)</formula>
    </cfRule>
    <cfRule type="expression" dxfId="3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2E7D32"/>
  </sheetPr>
  <dimension ref="A1:C6"/>
  <sheetViews>
    <sheetView showGridLines="0" workbookViewId="0"/>
  </sheetViews>
  <sheetFormatPr defaultRowHeight="15" x14ac:dyDescent="0.25"/>
  <cols>
    <col min="1" max="1" width="19.7109375" bestFit="1" customWidth="1"/>
    <col min="2" max="2" width="19" bestFit="1" customWidth="1"/>
    <col min="3" max="3" width="16.28515625" bestFit="1" customWidth="1"/>
  </cols>
  <sheetData>
    <row r="1" spans="1:3" ht="30" customHeight="1" x14ac:dyDescent="0.25">
      <c r="A1" s="110" t="s">
        <v>502</v>
      </c>
      <c r="B1" s="96"/>
      <c r="C1" s="96"/>
    </row>
    <row r="2" spans="1:3" ht="18" customHeight="1" x14ac:dyDescent="0.25">
      <c r="A2" s="95" t="s">
        <v>503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504</v>
      </c>
      <c r="B4" s="28">
        <f>'Financing &amp; returns'!B15</f>
        <v>40</v>
      </c>
      <c r="C4" s="17" t="s">
        <v>322</v>
      </c>
    </row>
    <row r="5" spans="1:3" x14ac:dyDescent="0.25">
      <c r="A5" s="13" t="s">
        <v>505</v>
      </c>
      <c r="B5" s="27">
        <f>'Proforma (monthly)'!F77</f>
        <v>4241561.2655000007</v>
      </c>
    </row>
    <row r="6" spans="1:3" x14ac:dyDescent="0.25">
      <c r="A6" s="13" t="s">
        <v>506</v>
      </c>
      <c r="B6" s="27">
        <f>'Proforma (monthly)'!F77*'Financing &amp; returns'!B15/30.4</f>
        <v>5581001.6651315801</v>
      </c>
      <c r="C6" s="17" t="s">
        <v>507</v>
      </c>
    </row>
  </sheetData>
  <mergeCells count="2">
    <mergeCell ref="A1:C1"/>
    <mergeCell ref="A2:C2"/>
  </mergeCells>
  <conditionalFormatting sqref="A1:C6">
    <cfRule type="expression" dxfId="31" priority="1">
      <formula>_xludf.ISFORMULA(A1)</formula>
    </cfRule>
    <cfRule type="expression" dxfId="3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2E7D32"/>
  </sheetPr>
  <dimension ref="A1:G8"/>
  <sheetViews>
    <sheetView showGridLines="0" workbookViewId="0"/>
  </sheetViews>
  <sheetFormatPr defaultRowHeight="15" x14ac:dyDescent="0.25"/>
  <cols>
    <col min="1" max="1" width="23" bestFit="1" customWidth="1"/>
    <col min="2" max="2" width="9.28515625" bestFit="1" customWidth="1"/>
    <col min="3" max="5" width="10.85546875" bestFit="1" customWidth="1"/>
    <col min="6" max="6" width="10.140625" bestFit="1" customWidth="1"/>
    <col min="7" max="7" width="11.140625" bestFit="1" customWidth="1"/>
  </cols>
  <sheetData>
    <row r="1" spans="1:7" ht="30" customHeight="1" x14ac:dyDescent="0.25">
      <c r="A1" s="110" t="s">
        <v>508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509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510</v>
      </c>
      <c r="B5" s="27">
        <f>SUM('Proforma (monthly)'!J6:J17)</f>
        <v>-831039.99495334201</v>
      </c>
      <c r="C5" s="27">
        <f>SUM('Proforma (monthly)'!J18:J29)</f>
        <v>-1353236.3931177948</v>
      </c>
      <c r="D5" s="27">
        <f>SUM('Proforma (monthly)'!J30:J41)</f>
        <v>-1087970.285711267</v>
      </c>
      <c r="E5" s="27">
        <f>SUM('Proforma (monthly)'!J42:J53)</f>
        <v>1037805.9476779671</v>
      </c>
      <c r="F5" s="27">
        <f>SUM('Proforma (monthly)'!J54:J65)</f>
        <v>6942165.747244956</v>
      </c>
      <c r="G5" s="27">
        <f>SUM('Proforma (monthly)'!J66:J77)</f>
        <v>21416315.511048038</v>
      </c>
    </row>
    <row r="6" spans="1:7" x14ac:dyDescent="0.25">
      <c r="A6" s="13" t="s">
        <v>511</v>
      </c>
      <c r="B6" s="27">
        <f>SUM('Proforma (monthly)'!J6:J17)</f>
        <v>-831039.99495334201</v>
      </c>
      <c r="C6" s="27">
        <f>SUM('Proforma (monthly)'!J6:J29)</f>
        <v>-2184276.388071137</v>
      </c>
      <c r="D6" s="27">
        <f>SUM('Proforma (monthly)'!J6:J41)</f>
        <v>-3272246.6737824036</v>
      </c>
      <c r="E6" s="27">
        <f>SUM('Proforma (monthly)'!J6:J53)</f>
        <v>-2234440.726104436</v>
      </c>
      <c r="F6" s="27">
        <f>SUM('Proforma (monthly)'!J6:J65)</f>
        <v>4707725.0211405195</v>
      </c>
      <c r="G6" s="27">
        <f>SUM('Proforma (monthly)'!J6:J77)</f>
        <v>26124040.532188557</v>
      </c>
    </row>
    <row r="7" spans="1:7" x14ac:dyDescent="0.25">
      <c r="A7" s="13" t="s">
        <v>512</v>
      </c>
      <c r="B7" s="27">
        <f>MAX(0,B6)</f>
        <v>0</v>
      </c>
      <c r="C7" s="27">
        <f>MAX(0,C6)-MAX(0,B6)</f>
        <v>0</v>
      </c>
      <c r="D7" s="27">
        <f>MAX(0,D6)-MAX(0,C6)</f>
        <v>0</v>
      </c>
      <c r="E7" s="27">
        <f>MAX(0,E6)-MAX(0,D6)</f>
        <v>0</v>
      </c>
      <c r="F7" s="27">
        <f>MAX(0,F6)-MAX(0,E6)</f>
        <v>4707725.0211405195</v>
      </c>
      <c r="G7" s="27">
        <f>MAX(0,G6)-MAX(0,F6)</f>
        <v>21416315.511048038</v>
      </c>
    </row>
    <row r="8" spans="1:7" x14ac:dyDescent="0.25">
      <c r="A8" s="18" t="s">
        <v>513</v>
      </c>
      <c r="B8" s="32">
        <f>B7*'Financing &amp; returns'!B16</f>
        <v>0</v>
      </c>
      <c r="C8" s="32">
        <f>C7*'Financing &amp; returns'!B16</f>
        <v>0</v>
      </c>
      <c r="D8" s="32">
        <f>D7*'Financing &amp; returns'!B16</f>
        <v>0</v>
      </c>
      <c r="E8" s="32">
        <f>E7*'Financing &amp; returns'!B16</f>
        <v>0</v>
      </c>
      <c r="F8" s="32">
        <f>F7*'Financing &amp; returns'!B16</f>
        <v>988622.25443950901</v>
      </c>
      <c r="G8" s="32">
        <f>G7*'Financing &amp; returns'!B16</f>
        <v>4497426.2573200874</v>
      </c>
    </row>
  </sheetData>
  <mergeCells count="2">
    <mergeCell ref="A2:G2"/>
    <mergeCell ref="A1:G1"/>
  </mergeCells>
  <conditionalFormatting sqref="A1:G8">
    <cfRule type="expression" dxfId="29" priority="1">
      <formula>_xludf.ISFORMULA(A1)</formula>
    </cfRule>
    <cfRule type="expression" dxfId="2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2E7D32"/>
  </sheetPr>
  <dimension ref="A1:C10"/>
  <sheetViews>
    <sheetView showGridLines="0" workbookViewId="0"/>
  </sheetViews>
  <sheetFormatPr defaultRowHeight="15" x14ac:dyDescent="0.25"/>
  <cols>
    <col min="1" max="1" width="25.28515625" bestFit="1" customWidth="1"/>
    <col min="2" max="2" width="19" bestFit="1" customWidth="1"/>
    <col min="3" max="3" width="35.85546875" bestFit="1" customWidth="1"/>
  </cols>
  <sheetData>
    <row r="1" spans="1:3" ht="30" customHeight="1" x14ac:dyDescent="0.25">
      <c r="A1" s="111" t="s">
        <v>514</v>
      </c>
      <c r="B1" s="96"/>
      <c r="C1" s="96"/>
    </row>
    <row r="2" spans="1:3" ht="18" customHeight="1" x14ac:dyDescent="0.25">
      <c r="A2" s="95" t="s">
        <v>515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516</v>
      </c>
    </row>
    <row r="5" spans="1:3" x14ac:dyDescent="0.25">
      <c r="A5" s="13" t="s">
        <v>162</v>
      </c>
      <c r="B5" s="27">
        <f>'Financing &amp; returns'!B7</f>
        <v>4000000</v>
      </c>
    </row>
    <row r="6" spans="1:3" x14ac:dyDescent="0.25">
      <c r="A6" s="13" t="s">
        <v>517</v>
      </c>
      <c r="B6" s="27">
        <f>'Financing &amp; returns'!B8</f>
        <v>300000</v>
      </c>
    </row>
    <row r="7" spans="1:3" x14ac:dyDescent="0.25">
      <c r="A7" s="13" t="s">
        <v>518</v>
      </c>
      <c r="B7" s="27">
        <f>'Financing &amp; returns'!B7+'Financing &amp; returns'!B8</f>
        <v>4300000</v>
      </c>
    </row>
    <row r="9" spans="1:3" ht="15.75" x14ac:dyDescent="0.25">
      <c r="A9" s="12" t="s">
        <v>519</v>
      </c>
    </row>
    <row r="10" spans="1:3" x14ac:dyDescent="0.25">
      <c r="A10" s="13" t="s">
        <v>520</v>
      </c>
      <c r="B10" s="27">
        <f>'Financing &amp; returns'!B7+'Financing &amp; returns'!B8</f>
        <v>4300000</v>
      </c>
      <c r="C10" s="17" t="s">
        <v>521</v>
      </c>
    </row>
  </sheetData>
  <mergeCells count="2">
    <mergeCell ref="A1:C1"/>
    <mergeCell ref="A2:C2"/>
  </mergeCells>
  <conditionalFormatting sqref="A1:C10">
    <cfRule type="expression" dxfId="27" priority="1">
      <formula>_xludf.ISFORMULA(A1)</formula>
    </cfRule>
    <cfRule type="expression" dxfId="2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6A1B9A"/>
  </sheetPr>
  <dimension ref="A1:D21"/>
  <sheetViews>
    <sheetView showGridLines="0" workbookViewId="0"/>
  </sheetViews>
  <sheetFormatPr defaultRowHeight="15" x14ac:dyDescent="0.25"/>
  <cols>
    <col min="1" max="1" width="27.28515625" bestFit="1" customWidth="1"/>
    <col min="2" max="2" width="12.140625" bestFit="1" customWidth="1"/>
    <col min="3" max="3" width="14" customWidth="1"/>
    <col min="4" max="4" width="34.42578125" bestFit="1" customWidth="1"/>
  </cols>
  <sheetData>
    <row r="1" spans="1:4" ht="30" customHeight="1" x14ac:dyDescent="0.25">
      <c r="A1" s="111" t="s">
        <v>522</v>
      </c>
      <c r="B1" s="96"/>
      <c r="C1" s="96"/>
      <c r="D1" s="96"/>
    </row>
    <row r="2" spans="1:4" ht="18" customHeight="1" x14ac:dyDescent="0.25">
      <c r="A2" s="95" t="s">
        <v>523</v>
      </c>
      <c r="B2" s="96"/>
      <c r="C2" s="96"/>
      <c r="D2" s="96"/>
    </row>
    <row r="4" spans="1:4" ht="15.75" x14ac:dyDescent="0.25">
      <c r="A4" s="12" t="s">
        <v>524</v>
      </c>
    </row>
    <row r="5" spans="1:4" x14ac:dyDescent="0.25">
      <c r="A5" s="13" t="s">
        <v>525</v>
      </c>
      <c r="B5" s="14">
        <f>'Proforma (monthly)'!M77</f>
        <v>1071000</v>
      </c>
      <c r="D5" s="17" t="s">
        <v>526</v>
      </c>
    </row>
    <row r="6" spans="1:4" x14ac:dyDescent="0.25">
      <c r="A6" s="13" t="s">
        <v>40</v>
      </c>
      <c r="B6" s="14">
        <f>'Proforma (monthly)'!N77</f>
        <v>4897.8767500000004</v>
      </c>
      <c r="D6" s="17" t="s">
        <v>527</v>
      </c>
    </row>
    <row r="8" spans="1:4" ht="15.75" x14ac:dyDescent="0.25">
      <c r="A8" s="12" t="s">
        <v>528</v>
      </c>
    </row>
    <row r="9" spans="1:4" x14ac:dyDescent="0.25">
      <c r="A9" s="13" t="s">
        <v>529</v>
      </c>
      <c r="B9" s="52">
        <f>'Proforma (monthly)'!E77</f>
        <v>866</v>
      </c>
      <c r="D9" s="17" t="s">
        <v>530</v>
      </c>
    </row>
    <row r="10" spans="1:4" x14ac:dyDescent="0.25">
      <c r="A10" s="13" t="s">
        <v>531</v>
      </c>
      <c r="B10" s="74">
        <f>'Financing &amp; returns'!B14</f>
        <v>6</v>
      </c>
      <c r="D10" s="17" t="s">
        <v>322</v>
      </c>
    </row>
    <row r="11" spans="1:4" x14ac:dyDescent="0.25">
      <c r="A11" s="13" t="s">
        <v>11</v>
      </c>
      <c r="B11" s="14">
        <f>'Proforma (monthly)'!G77</f>
        <v>50898735.186000004</v>
      </c>
      <c r="D11" s="17" t="s">
        <v>532</v>
      </c>
    </row>
    <row r="12" spans="1:4" x14ac:dyDescent="0.25">
      <c r="A12" s="13" t="s">
        <v>533</v>
      </c>
      <c r="B12" s="14">
        <f>'Proforma (monthly)'!G77*'Financing &amp; returns'!B5</f>
        <v>508987351.86000001</v>
      </c>
      <c r="D12" s="17" t="s">
        <v>534</v>
      </c>
    </row>
    <row r="13" spans="1:4" x14ac:dyDescent="0.25">
      <c r="A13" s="13" t="s">
        <v>535</v>
      </c>
      <c r="B13" s="14">
        <f>Returns!B12*'Financing &amp; returns'!B10*'Financing &amp; returns'!B11</f>
        <v>101797470.37200001</v>
      </c>
      <c r="D13" s="17" t="s">
        <v>536</v>
      </c>
    </row>
    <row r="14" spans="1:4" x14ac:dyDescent="0.25">
      <c r="A14" s="13" t="s">
        <v>537</v>
      </c>
      <c r="B14" s="75">
        <f>Returns!B13/'Financing &amp; returns'!B7</f>
        <v>25.449367593000002</v>
      </c>
    </row>
    <row r="15" spans="1:4" x14ac:dyDescent="0.25">
      <c r="A15" s="13" t="s">
        <v>538</v>
      </c>
      <c r="B15" s="75">
        <f>'Proforma (monthly)'!G77*'Financing &amp; returns'!B6*'Financing &amp; returns'!B10*'Financing &amp; returns'!B11/'Financing &amp; returns'!B7</f>
        <v>15.269620555800003</v>
      </c>
      <c r="D15" s="17" t="s">
        <v>539</v>
      </c>
    </row>
    <row r="16" spans="1:4" x14ac:dyDescent="0.25">
      <c r="A16" s="13" t="s">
        <v>38</v>
      </c>
      <c r="B16" s="15">
        <f>Returns!B14^(1/'Financing &amp; returns'!B14)-1</f>
        <v>0.71506071492798262</v>
      </c>
    </row>
    <row r="18" spans="1:4" ht="15.75" x14ac:dyDescent="0.25">
      <c r="A18" s="12" t="s">
        <v>540</v>
      </c>
    </row>
    <row r="19" spans="1:4" x14ac:dyDescent="0.25">
      <c r="A19" s="13" t="s">
        <v>15</v>
      </c>
      <c r="B19" s="14">
        <f>'Proforma (monthly)'!J77*12</f>
        <v>33123430.943501171</v>
      </c>
      <c r="D19" s="17" t="s">
        <v>541</v>
      </c>
    </row>
    <row r="20" spans="1:4" x14ac:dyDescent="0.25">
      <c r="A20" s="13" t="s">
        <v>16</v>
      </c>
      <c r="B20" s="15">
        <f>Returns!B19/'Proforma (monthly)'!G77</f>
        <v>0.65077119937180605</v>
      </c>
      <c r="D20" s="17" t="s">
        <v>542</v>
      </c>
    </row>
    <row r="21" spans="1:4" x14ac:dyDescent="0.25">
      <c r="A21" s="13" t="s">
        <v>56</v>
      </c>
      <c r="B21" s="52">
        <f>'Staffing &amp; FTE'!S93</f>
        <v>108</v>
      </c>
      <c r="D21" s="17" t="s">
        <v>543</v>
      </c>
    </row>
  </sheetData>
  <mergeCells count="2">
    <mergeCell ref="A1:D1"/>
    <mergeCell ref="A2:D2"/>
  </mergeCells>
  <conditionalFormatting sqref="A1:D21">
    <cfRule type="expression" dxfId="25" priority="1">
      <formula>_xludf.ISFORMULA(A1)</formula>
    </cfRule>
    <cfRule type="expression" dxfId="2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6A1B9A"/>
  </sheetPr>
  <dimension ref="A1:C12"/>
  <sheetViews>
    <sheetView showGridLines="0" workbookViewId="0"/>
  </sheetViews>
  <sheetFormatPr defaultRowHeight="15" x14ac:dyDescent="0.25"/>
  <cols>
    <col min="1" max="1" width="19.5703125" bestFit="1" customWidth="1"/>
    <col min="2" max="2" width="19" bestFit="1" customWidth="1"/>
    <col min="3" max="3" width="10" bestFit="1" customWidth="1"/>
  </cols>
  <sheetData>
    <row r="1" spans="1:3" ht="30" customHeight="1" x14ac:dyDescent="0.25">
      <c r="A1" s="111" t="s">
        <v>544</v>
      </c>
      <c r="B1" s="96"/>
      <c r="C1" s="96"/>
    </row>
    <row r="2" spans="1:3" ht="18" customHeight="1" x14ac:dyDescent="0.25">
      <c r="A2" s="95" t="s">
        <v>545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9</v>
      </c>
      <c r="B4" s="27">
        <f>'Financing &amp; returns'!B7</f>
        <v>4000000</v>
      </c>
    </row>
    <row r="5" spans="1:3" x14ac:dyDescent="0.25">
      <c r="A5" s="13" t="s">
        <v>546</v>
      </c>
      <c r="B5" s="29">
        <f>'Financing &amp; returns'!B10</f>
        <v>0.2</v>
      </c>
      <c r="C5" s="17" t="s">
        <v>547</v>
      </c>
    </row>
    <row r="6" spans="1:3" x14ac:dyDescent="0.25">
      <c r="A6" s="13" t="s">
        <v>11</v>
      </c>
      <c r="B6" s="27">
        <f>'Proforma (monthly)'!G77</f>
        <v>50898735.186000004</v>
      </c>
    </row>
    <row r="7" spans="1:3" x14ac:dyDescent="0.25">
      <c r="A7" s="13" t="s">
        <v>548</v>
      </c>
      <c r="B7" s="76">
        <f>'Financing &amp; returns'!B5</f>
        <v>10</v>
      </c>
    </row>
    <row r="8" spans="1:3" x14ac:dyDescent="0.25">
      <c r="A8" s="13" t="s">
        <v>13</v>
      </c>
      <c r="B8" s="27">
        <f>Returns!B12</f>
        <v>508987351.86000001</v>
      </c>
    </row>
    <row r="9" spans="1:3" x14ac:dyDescent="0.25">
      <c r="A9" s="13" t="s">
        <v>14</v>
      </c>
      <c r="B9" s="27">
        <f>Returns!B13</f>
        <v>101797470.37200001</v>
      </c>
    </row>
    <row r="10" spans="1:3" x14ac:dyDescent="0.25">
      <c r="A10" s="13" t="s">
        <v>537</v>
      </c>
      <c r="B10" s="30">
        <f>Returns!B14</f>
        <v>25.449367593000002</v>
      </c>
    </row>
    <row r="11" spans="1:3" x14ac:dyDescent="0.25">
      <c r="A11" s="13" t="s">
        <v>38</v>
      </c>
      <c r="B11" s="29">
        <f>Returns!B16</f>
        <v>0.71506071492798262</v>
      </c>
    </row>
    <row r="12" spans="1:3" x14ac:dyDescent="0.25">
      <c r="A12" s="13" t="s">
        <v>549</v>
      </c>
      <c r="B12" s="30">
        <f>'Proforma (monthly)'!G77*'Financing &amp; returns'!B6*'Financing &amp; returns'!B10/'Financing &amp; returns'!B7</f>
        <v>15.269620555800003</v>
      </c>
    </row>
  </sheetData>
  <mergeCells count="2">
    <mergeCell ref="A1:C1"/>
    <mergeCell ref="A2:C2"/>
  </mergeCells>
  <conditionalFormatting sqref="A1:C12">
    <cfRule type="expression" dxfId="23" priority="1">
      <formula>_xludf.ISFORMULA(A1)</formula>
    </cfRule>
    <cfRule type="expression" dxfId="2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A8A83"/>
  </sheetPr>
  <dimension ref="A1:C19"/>
  <sheetViews>
    <sheetView showGridLines="0" workbookViewId="0"/>
  </sheetViews>
  <sheetFormatPr defaultRowHeight="15" x14ac:dyDescent="0.25"/>
  <cols>
    <col min="1" max="1" width="26.85546875" bestFit="1" customWidth="1"/>
    <col min="2" max="2" width="64.7109375" style="125" customWidth="1"/>
    <col min="3" max="3" width="12.85546875" bestFit="1" customWidth="1"/>
  </cols>
  <sheetData>
    <row r="1" spans="1:3" ht="21" x14ac:dyDescent="0.25">
      <c r="A1" s="98" t="s">
        <v>43</v>
      </c>
      <c r="B1" s="96"/>
      <c r="C1" s="96"/>
    </row>
    <row r="2" spans="1:3" x14ac:dyDescent="0.25">
      <c r="A2" s="95" t="s">
        <v>44</v>
      </c>
      <c r="B2" s="96"/>
      <c r="C2" s="96"/>
    </row>
    <row r="3" spans="1:3" x14ac:dyDescent="0.25">
      <c r="A3" s="24" t="s">
        <v>45</v>
      </c>
      <c r="B3" s="126" t="s">
        <v>46</v>
      </c>
    </row>
    <row r="4" spans="1:3" ht="15.75" x14ac:dyDescent="0.25">
      <c r="A4" s="12" t="s">
        <v>47</v>
      </c>
    </row>
    <row r="5" spans="1:3" ht="30" x14ac:dyDescent="0.25">
      <c r="A5" s="13" t="s">
        <v>48</v>
      </c>
      <c r="B5" s="127" t="s">
        <v>49</v>
      </c>
    </row>
    <row r="6" spans="1:3" ht="30" x14ac:dyDescent="0.25">
      <c r="A6" s="13" t="s">
        <v>50</v>
      </c>
      <c r="B6" s="127" t="s">
        <v>51</v>
      </c>
    </row>
    <row r="8" spans="1:3" ht="15.75" x14ac:dyDescent="0.25">
      <c r="A8" s="12" t="s">
        <v>52</v>
      </c>
    </row>
    <row r="9" spans="1:3" x14ac:dyDescent="0.25">
      <c r="A9" s="13" t="s">
        <v>11</v>
      </c>
      <c r="B9" s="128">
        <f>'Proforma (monthly)'!G77</f>
        <v>50898735.186000004</v>
      </c>
      <c r="C9" s="17" t="s">
        <v>53</v>
      </c>
    </row>
    <row r="10" spans="1:3" x14ac:dyDescent="0.25">
      <c r="A10" s="13" t="s">
        <v>39</v>
      </c>
      <c r="B10" s="129">
        <f>'Proforma (monthly)'!E77</f>
        <v>866</v>
      </c>
    </row>
    <row r="11" spans="1:3" x14ac:dyDescent="0.25">
      <c r="A11" s="13" t="s">
        <v>54</v>
      </c>
      <c r="B11" s="129">
        <f>'Proforma (monthly)'!D77</f>
        <v>346.24122658662037</v>
      </c>
    </row>
    <row r="12" spans="1:3" x14ac:dyDescent="0.25">
      <c r="A12" s="13" t="s">
        <v>15</v>
      </c>
      <c r="B12" s="128">
        <f>Returns!B19</f>
        <v>33123430.943501171</v>
      </c>
      <c r="C12" s="17" t="s">
        <v>55</v>
      </c>
    </row>
    <row r="13" spans="1:3" x14ac:dyDescent="0.25">
      <c r="A13" s="13" t="s">
        <v>16</v>
      </c>
      <c r="B13" s="130">
        <f>Returns!B19/'Proforma (monthly)'!G77</f>
        <v>0.65077119937180605</v>
      </c>
    </row>
    <row r="14" spans="1:3" x14ac:dyDescent="0.25">
      <c r="A14" s="13" t="s">
        <v>56</v>
      </c>
      <c r="B14" s="129">
        <f>'Staffing &amp; FTE'!S93</f>
        <v>108</v>
      </c>
    </row>
    <row r="16" spans="1:3" ht="15.75" x14ac:dyDescent="0.25">
      <c r="A16" s="12" t="s">
        <v>57</v>
      </c>
    </row>
    <row r="17" spans="1:2" x14ac:dyDescent="0.25">
      <c r="A17" s="13" t="s">
        <v>58</v>
      </c>
      <c r="B17" s="128">
        <f>Returns!B13</f>
        <v>101797470.37200001</v>
      </c>
    </row>
    <row r="18" spans="1:2" x14ac:dyDescent="0.25">
      <c r="A18" s="13" t="s">
        <v>59</v>
      </c>
      <c r="B18" s="131">
        <f>Returns!B14</f>
        <v>25.449367593000002</v>
      </c>
    </row>
    <row r="19" spans="1:2" x14ac:dyDescent="0.25">
      <c r="A19" s="13" t="s">
        <v>4</v>
      </c>
      <c r="B19" s="130">
        <f>Returns!B16</f>
        <v>0.71506071492798262</v>
      </c>
    </row>
  </sheetData>
  <mergeCells count="2">
    <mergeCell ref="A1:C1"/>
    <mergeCell ref="A2:C2"/>
  </mergeCells>
  <conditionalFormatting sqref="A1:C19">
    <cfRule type="expression" dxfId="97" priority="1">
      <formula>_xludf.ISFORMULA(A1)</formula>
    </cfRule>
    <cfRule type="expression" dxfId="9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6A1B9A"/>
  </sheetPr>
  <dimension ref="A1:F9"/>
  <sheetViews>
    <sheetView showGridLines="0" workbookViewId="0"/>
  </sheetViews>
  <sheetFormatPr defaultRowHeight="15" x14ac:dyDescent="0.25"/>
  <cols>
    <col min="1" max="1" width="49.140625" bestFit="1" customWidth="1"/>
    <col min="2" max="2" width="10.140625" bestFit="1" customWidth="1"/>
    <col min="3" max="5" width="9.28515625" bestFit="1" customWidth="1"/>
    <col min="6" max="6" width="13" customWidth="1"/>
  </cols>
  <sheetData>
    <row r="1" spans="1:6" ht="30" customHeight="1" x14ac:dyDescent="0.25">
      <c r="A1" s="111" t="s">
        <v>550</v>
      </c>
      <c r="B1" s="96"/>
      <c r="C1" s="96"/>
      <c r="D1" s="96"/>
      <c r="E1" s="96"/>
      <c r="F1" s="96"/>
    </row>
    <row r="2" spans="1:6" ht="18" customHeight="1" x14ac:dyDescent="0.25">
      <c r="A2" s="95" t="s">
        <v>551</v>
      </c>
      <c r="B2" s="96"/>
      <c r="C2" s="96"/>
      <c r="D2" s="96"/>
      <c r="E2" s="96"/>
      <c r="F2" s="96"/>
    </row>
    <row r="3" spans="1:6" x14ac:dyDescent="0.25">
      <c r="A3" s="17" t="s">
        <v>552</v>
      </c>
    </row>
    <row r="5" spans="1:6" x14ac:dyDescent="0.25">
      <c r="A5" s="33" t="s">
        <v>553</v>
      </c>
      <c r="B5" s="2" t="s">
        <v>554</v>
      </c>
      <c r="C5" s="2" t="s">
        <v>555</v>
      </c>
      <c r="D5" s="2" t="s">
        <v>556</v>
      </c>
      <c r="E5" s="2" t="s">
        <v>557</v>
      </c>
    </row>
    <row r="6" spans="1:6" x14ac:dyDescent="0.25">
      <c r="A6" s="18" t="s">
        <v>558</v>
      </c>
      <c r="B6" s="77">
        <f>'Proforma (monthly)'!G77*1*12*'Financing &amp; returns'!B10/'Financing &amp; returns'!B7</f>
        <v>30.539241111600006</v>
      </c>
      <c r="C6" s="77">
        <f>'Proforma (monthly)'!G77*0.85*12*'Financing &amp; returns'!B10/'Financing &amp; returns'!B7</f>
        <v>25.958354944860002</v>
      </c>
      <c r="D6" s="77">
        <f>'Proforma (monthly)'!G77*0.7*12*'Financing &amp; returns'!B10/'Financing &amp; returns'!B7</f>
        <v>21.377468778120001</v>
      </c>
      <c r="E6" s="77">
        <f>'Proforma (monthly)'!G77*0.55*12*'Financing &amp; returns'!B10/'Financing &amp; returns'!B7</f>
        <v>16.796582611380003</v>
      </c>
    </row>
    <row r="7" spans="1:6" x14ac:dyDescent="0.25">
      <c r="A7" s="18" t="s">
        <v>559</v>
      </c>
      <c r="B7" s="78">
        <f>'Proforma (monthly)'!G77*1*10*'Financing &amp; returns'!B10/'Financing &amp; returns'!B7</f>
        <v>25.449367593000002</v>
      </c>
      <c r="C7" s="77">
        <f>'Proforma (monthly)'!G77*0.85*10*'Financing &amp; returns'!B10/'Financing &amp; returns'!B7</f>
        <v>21.631962454050004</v>
      </c>
      <c r="D7" s="77">
        <f>'Proforma (monthly)'!G77*0.7*10*'Financing &amp; returns'!B10/'Financing &amp; returns'!B7</f>
        <v>17.8145573151</v>
      </c>
      <c r="E7" s="77">
        <f>'Proforma (monthly)'!G77*0.55*10*'Financing &amp; returns'!B10/'Financing &amp; returns'!B7</f>
        <v>13.997152176150001</v>
      </c>
    </row>
    <row r="8" spans="1:6" x14ac:dyDescent="0.25">
      <c r="A8" s="18" t="s">
        <v>560</v>
      </c>
      <c r="B8" s="77">
        <f>'Proforma (monthly)'!G77*1*8*'Financing &amp; returns'!B10/'Financing &amp; returns'!B7</f>
        <v>20.359494074400004</v>
      </c>
      <c r="C8" s="77">
        <f>'Proforma (monthly)'!G77*0.85*8*'Financing &amp; returns'!B10/'Financing &amp; returns'!B7</f>
        <v>17.30556996324</v>
      </c>
      <c r="D8" s="77">
        <f>'Proforma (monthly)'!G77*0.7*8*'Financing &amp; returns'!B10/'Financing &amp; returns'!B7</f>
        <v>14.251645852080001</v>
      </c>
      <c r="E8" s="77">
        <f>'Proforma (monthly)'!G77*0.55*8*'Financing &amp; returns'!B10/'Financing &amp; returns'!B7</f>
        <v>11.197721740920002</v>
      </c>
    </row>
    <row r="9" spans="1:6" x14ac:dyDescent="0.25">
      <c r="A9" s="18" t="s">
        <v>561</v>
      </c>
      <c r="B9" s="77">
        <f>'Proforma (monthly)'!G77*1*6*'Financing &amp; returns'!B10/'Financing &amp; returns'!B7</f>
        <v>15.269620555800003</v>
      </c>
      <c r="C9" s="77">
        <f>'Proforma (monthly)'!G77*0.85*6*'Financing &amp; returns'!B10/'Financing &amp; returns'!B7</f>
        <v>12.979177472430001</v>
      </c>
      <c r="D9" s="77">
        <f>'Proforma (monthly)'!G77*0.7*6*'Financing &amp; returns'!B10/'Financing &amp; returns'!B7</f>
        <v>10.68873438906</v>
      </c>
      <c r="E9" s="77">
        <f>'Proforma (monthly)'!G77*0.55*6*'Financing &amp; returns'!B10/'Financing &amp; returns'!B7</f>
        <v>8.3982913056900017</v>
      </c>
    </row>
  </sheetData>
  <mergeCells count="2">
    <mergeCell ref="A2:F2"/>
    <mergeCell ref="A1:F1"/>
  </mergeCells>
  <conditionalFormatting sqref="A1:F9">
    <cfRule type="expression" dxfId="21" priority="1">
      <formula>_xludf.ISFORMULA(A1)</formula>
    </cfRule>
    <cfRule type="expression" dxfId="2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6A1B9A"/>
  </sheetPr>
  <dimension ref="A1:C7"/>
  <sheetViews>
    <sheetView showGridLines="0" workbookViewId="0"/>
  </sheetViews>
  <sheetFormatPr defaultRowHeight="15" x14ac:dyDescent="0.25"/>
  <cols>
    <col min="1" max="1" width="30.28515625" bestFit="1" customWidth="1"/>
    <col min="2" max="2" width="19" bestFit="1" customWidth="1"/>
    <col min="3" max="3" width="24.5703125" bestFit="1" customWidth="1"/>
  </cols>
  <sheetData>
    <row r="1" spans="1:3" ht="30" customHeight="1" x14ac:dyDescent="0.25">
      <c r="A1" s="111" t="s">
        <v>562</v>
      </c>
      <c r="B1" s="96"/>
      <c r="C1" s="96"/>
    </row>
    <row r="2" spans="1:3" ht="18" customHeight="1" x14ac:dyDescent="0.25">
      <c r="A2" s="95" t="s">
        <v>563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564</v>
      </c>
      <c r="B4" s="29">
        <f>1</f>
        <v>1</v>
      </c>
      <c r="C4" s="17" t="s">
        <v>328</v>
      </c>
    </row>
    <row r="5" spans="1:3" x14ac:dyDescent="0.25">
      <c r="A5" s="13" t="s">
        <v>565</v>
      </c>
      <c r="B5" s="71" t="s">
        <v>566</v>
      </c>
      <c r="C5" s="17" t="s">
        <v>567</v>
      </c>
    </row>
    <row r="6" spans="1:3" x14ac:dyDescent="0.25">
      <c r="A6" s="13" t="s">
        <v>568</v>
      </c>
      <c r="B6" s="27">
        <f>'Proforma (monthly)'!G77</f>
        <v>50898735.186000004</v>
      </c>
    </row>
    <row r="7" spans="1:3" x14ac:dyDescent="0.25">
      <c r="A7" s="13" t="s">
        <v>569</v>
      </c>
      <c r="B7" s="27">
        <f>'Proforma (monthly)'!G77*1.1</f>
        <v>55988608.704600006</v>
      </c>
      <c r="C7" s="17" t="s">
        <v>570</v>
      </c>
    </row>
  </sheetData>
  <mergeCells count="2">
    <mergeCell ref="A1:C1"/>
    <mergeCell ref="A2:C2"/>
  </mergeCells>
  <conditionalFormatting sqref="A1:C7">
    <cfRule type="expression" dxfId="19" priority="1">
      <formula>_xludf.ISFORMULA(A1)</formula>
    </cfRule>
    <cfRule type="expression" dxfId="1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6A1B9A"/>
  </sheetPr>
  <dimension ref="A1:C8"/>
  <sheetViews>
    <sheetView showGridLines="0" workbookViewId="0"/>
  </sheetViews>
  <sheetFormatPr defaultRowHeight="15" x14ac:dyDescent="0.25"/>
  <cols>
    <col min="1" max="1" width="20.7109375" bestFit="1" customWidth="1"/>
    <col min="2" max="2" width="19" bestFit="1" customWidth="1"/>
    <col min="3" max="3" width="10" bestFit="1" customWidth="1"/>
  </cols>
  <sheetData>
    <row r="1" spans="1:3" ht="30" customHeight="1" x14ac:dyDescent="0.25">
      <c r="A1" s="111" t="s">
        <v>571</v>
      </c>
      <c r="B1" s="96"/>
      <c r="C1" s="96"/>
    </row>
    <row r="2" spans="1:3" ht="18" customHeight="1" x14ac:dyDescent="0.25">
      <c r="A2" s="95" t="s">
        <v>572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166</v>
      </c>
      <c r="B4" s="27">
        <f>'Financing &amp; returns'!B9</f>
        <v>16000000</v>
      </c>
    </row>
    <row r="5" spans="1:3" x14ac:dyDescent="0.25">
      <c r="A5" s="13" t="s">
        <v>162</v>
      </c>
      <c r="B5" s="27">
        <f>'Financing &amp; returns'!B7</f>
        <v>4000000</v>
      </c>
    </row>
    <row r="6" spans="1:3" x14ac:dyDescent="0.25">
      <c r="A6" s="13" t="s">
        <v>573</v>
      </c>
      <c r="B6" s="27">
        <f>'Financing &amp; returns'!B9+'Financing &amp; returns'!B7</f>
        <v>20000000</v>
      </c>
      <c r="C6" s="17" t="s">
        <v>574</v>
      </c>
    </row>
    <row r="7" spans="1:3" x14ac:dyDescent="0.25">
      <c r="A7" s="13" t="s">
        <v>546</v>
      </c>
      <c r="B7" s="29">
        <f>'Financing &amp; returns'!B7/('Financing &amp; returns'!B9+'Financing &amp; returns'!B7)</f>
        <v>0.2</v>
      </c>
      <c r="C7" s="17" t="s">
        <v>547</v>
      </c>
    </row>
    <row r="8" spans="1:3" x14ac:dyDescent="0.25">
      <c r="A8" s="13" t="s">
        <v>575</v>
      </c>
      <c r="B8" s="29">
        <f>1-'Financing &amp; returns'!B7/('Financing &amp; returns'!B9+'Financing &amp; returns'!B7)</f>
        <v>0.8</v>
      </c>
    </row>
  </sheetData>
  <mergeCells count="2">
    <mergeCell ref="A1:C1"/>
    <mergeCell ref="A2:C2"/>
  </mergeCells>
  <conditionalFormatting sqref="A1:C8">
    <cfRule type="expression" dxfId="17" priority="1">
      <formula>_xludf.ISFORMULA(A1)</formula>
    </cfRule>
    <cfRule type="expression" dxfId="1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6A1B9A"/>
  </sheetPr>
  <dimension ref="A1:C10"/>
  <sheetViews>
    <sheetView showGridLines="0" workbookViewId="0"/>
  </sheetViews>
  <sheetFormatPr defaultRowHeight="15" x14ac:dyDescent="0.25"/>
  <cols>
    <col min="1" max="1" width="17.28515625" bestFit="1" customWidth="1"/>
    <col min="2" max="2" width="19" bestFit="1" customWidth="1"/>
    <col min="3" max="3" width="24.85546875" bestFit="1" customWidth="1"/>
  </cols>
  <sheetData>
    <row r="1" spans="1:3" ht="30" customHeight="1" x14ac:dyDescent="0.25">
      <c r="A1" s="111" t="s">
        <v>576</v>
      </c>
      <c r="B1" s="96"/>
      <c r="C1" s="96"/>
    </row>
    <row r="2" spans="1:3" ht="18" customHeight="1" x14ac:dyDescent="0.25">
      <c r="A2" s="95" t="s">
        <v>577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578</v>
      </c>
    </row>
    <row r="5" spans="1:3" x14ac:dyDescent="0.25">
      <c r="A5" s="13" t="s">
        <v>579</v>
      </c>
      <c r="B5" s="27">
        <f>'Proforma (monthly)'!K77</f>
        <v>30424040.532188557</v>
      </c>
      <c r="C5" s="17" t="s">
        <v>580</v>
      </c>
    </row>
    <row r="7" spans="1:3" ht="15.75" x14ac:dyDescent="0.25">
      <c r="A7" s="12" t="s">
        <v>581</v>
      </c>
    </row>
    <row r="8" spans="1:3" x14ac:dyDescent="0.25">
      <c r="A8" s="13" t="s">
        <v>582</v>
      </c>
      <c r="B8" s="27">
        <f>'Financing &amp; returns'!B7+'Financing &amp; returns'!B8</f>
        <v>4300000</v>
      </c>
      <c r="C8" s="17" t="s">
        <v>583</v>
      </c>
    </row>
    <row r="9" spans="1:3" x14ac:dyDescent="0.25">
      <c r="A9" s="13" t="s">
        <v>584</v>
      </c>
      <c r="B9" s="27">
        <f>'Proforma (monthly)'!K77-('Financing &amp; returns'!B7+'Financing &amp; returns'!B8)</f>
        <v>26124040.532188557</v>
      </c>
      <c r="C9" s="17" t="s">
        <v>585</v>
      </c>
    </row>
    <row r="10" spans="1:3" x14ac:dyDescent="0.25">
      <c r="A10" s="13" t="s">
        <v>586</v>
      </c>
      <c r="B10" s="27">
        <f>'Proforma (monthly)'!K77</f>
        <v>30424040.532188557</v>
      </c>
      <c r="C10" s="17" t="s">
        <v>587</v>
      </c>
    </row>
  </sheetData>
  <mergeCells count="2">
    <mergeCell ref="A1:C1"/>
    <mergeCell ref="A2:C2"/>
  </mergeCells>
  <conditionalFormatting sqref="A1:C10">
    <cfRule type="expression" dxfId="15" priority="1">
      <formula>_xludf.ISFORMULA(A1)</formula>
    </cfRule>
    <cfRule type="expression" dxfId="1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6A1B9A"/>
  </sheetPr>
  <dimension ref="A1:C7"/>
  <sheetViews>
    <sheetView showGridLines="0" workbookViewId="0"/>
  </sheetViews>
  <sheetFormatPr defaultRowHeight="15" x14ac:dyDescent="0.25"/>
  <cols>
    <col min="1" max="1" width="30.7109375" bestFit="1" customWidth="1"/>
    <col min="2" max="2" width="19" bestFit="1" customWidth="1"/>
    <col min="3" max="3" width="15.140625" bestFit="1" customWidth="1"/>
  </cols>
  <sheetData>
    <row r="1" spans="1:3" ht="30" customHeight="1" x14ac:dyDescent="0.25">
      <c r="A1" s="98" t="s">
        <v>588</v>
      </c>
      <c r="B1" s="96"/>
      <c r="C1" s="96"/>
    </row>
    <row r="2" spans="1:3" ht="18" customHeight="1" x14ac:dyDescent="0.25">
      <c r="A2" s="95" t="s">
        <v>589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590</v>
      </c>
      <c r="B4" s="27">
        <f>14000000000</f>
        <v>14000000000</v>
      </c>
      <c r="C4" s="17" t="s">
        <v>591</v>
      </c>
    </row>
    <row r="5" spans="1:3" x14ac:dyDescent="0.25">
      <c r="A5" s="13" t="s">
        <v>592</v>
      </c>
      <c r="B5" s="27">
        <f>4000000000</f>
        <v>4000000000</v>
      </c>
      <c r="C5" s="17" t="s">
        <v>593</v>
      </c>
    </row>
    <row r="6" spans="1:3" x14ac:dyDescent="0.25">
      <c r="A6" s="13" t="s">
        <v>594</v>
      </c>
      <c r="B6" s="27">
        <f>'Proforma (monthly)'!G77</f>
        <v>50898735.186000004</v>
      </c>
      <c r="C6" s="17" t="s">
        <v>595</v>
      </c>
    </row>
    <row r="7" spans="1:3" x14ac:dyDescent="0.25">
      <c r="A7" s="13" t="s">
        <v>596</v>
      </c>
      <c r="B7" s="29">
        <f>'Proforma (monthly)'!G77/4000000000</f>
        <v>1.2724683796500002E-2</v>
      </c>
      <c r="C7" s="17" t="s">
        <v>597</v>
      </c>
    </row>
  </sheetData>
  <mergeCells count="2">
    <mergeCell ref="A1:C1"/>
    <mergeCell ref="A2:C2"/>
  </mergeCells>
  <conditionalFormatting sqref="A1:C7">
    <cfRule type="expression" dxfId="13" priority="1">
      <formula>_xludf.ISFORMULA(A1)</formula>
    </cfRule>
    <cfRule type="expression" dxfId="1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6A1B9A"/>
  </sheetPr>
  <dimension ref="A1:B8"/>
  <sheetViews>
    <sheetView showGridLines="0" workbookViewId="0"/>
  </sheetViews>
  <sheetFormatPr defaultRowHeight="15" x14ac:dyDescent="0.25"/>
  <cols>
    <col min="1" max="1" width="30.5703125" bestFit="1" customWidth="1"/>
    <col min="2" max="2" width="64.7109375" style="125" customWidth="1"/>
  </cols>
  <sheetData>
    <row r="1" spans="1:2" ht="21" x14ac:dyDescent="0.25">
      <c r="A1" s="98" t="s">
        <v>598</v>
      </c>
      <c r="B1" s="96"/>
    </row>
    <row r="2" spans="1:2" x14ac:dyDescent="0.25">
      <c r="A2" s="95" t="s">
        <v>599</v>
      </c>
      <c r="B2" s="96"/>
    </row>
    <row r="4" spans="1:2" ht="28.5" x14ac:dyDescent="0.25">
      <c r="A4" s="18" t="s">
        <v>600</v>
      </c>
      <c r="B4" s="79" t="s">
        <v>601</v>
      </c>
    </row>
    <row r="5" spans="1:2" x14ac:dyDescent="0.25">
      <c r="A5" s="18" t="s">
        <v>602</v>
      </c>
      <c r="B5" s="79" t="s">
        <v>603</v>
      </c>
    </row>
    <row r="6" spans="1:2" ht="28.5" x14ac:dyDescent="0.25">
      <c r="A6" s="18" t="s">
        <v>604</v>
      </c>
      <c r="B6" s="79" t="s">
        <v>605</v>
      </c>
    </row>
    <row r="7" spans="1:2" ht="28.5" x14ac:dyDescent="0.25">
      <c r="A7" s="18" t="s">
        <v>606</v>
      </c>
      <c r="B7" s="79" t="s">
        <v>607</v>
      </c>
    </row>
    <row r="8" spans="1:2" x14ac:dyDescent="0.25">
      <c r="A8" s="18" t="s">
        <v>608</v>
      </c>
      <c r="B8" s="79" t="s">
        <v>609</v>
      </c>
    </row>
  </sheetData>
  <mergeCells count="2">
    <mergeCell ref="A2:B2"/>
    <mergeCell ref="A1:B1"/>
  </mergeCells>
  <conditionalFormatting sqref="A1:B8">
    <cfRule type="expression" dxfId="11" priority="1">
      <formula>_xludf.ISFORMULA(A1)</formula>
    </cfRule>
    <cfRule type="expression" dxfId="1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6A1B9A"/>
  </sheetPr>
  <dimension ref="A1:E8"/>
  <sheetViews>
    <sheetView showGridLines="0" workbookViewId="0"/>
  </sheetViews>
  <sheetFormatPr defaultRowHeight="15" x14ac:dyDescent="0.25"/>
  <cols>
    <col min="1" max="1" width="12.5703125" bestFit="1" customWidth="1"/>
    <col min="2" max="2" width="14.42578125" bestFit="1" customWidth="1"/>
    <col min="3" max="3" width="7.85546875" bestFit="1" customWidth="1"/>
    <col min="4" max="4" width="8.140625" bestFit="1" customWidth="1"/>
    <col min="5" max="5" width="19.85546875" bestFit="1" customWidth="1"/>
  </cols>
  <sheetData>
    <row r="1" spans="1:5" ht="30" customHeight="1" x14ac:dyDescent="0.25">
      <c r="A1" s="98" t="s">
        <v>610</v>
      </c>
      <c r="B1" s="96"/>
      <c r="C1" s="96"/>
      <c r="D1" s="96"/>
      <c r="E1" s="96"/>
    </row>
    <row r="2" spans="1:5" ht="18" customHeight="1" x14ac:dyDescent="0.25">
      <c r="A2" s="95" t="s">
        <v>611</v>
      </c>
      <c r="B2" s="96"/>
      <c r="C2" s="96"/>
      <c r="D2" s="96"/>
      <c r="E2" s="96"/>
    </row>
    <row r="4" spans="1:5" x14ac:dyDescent="0.25">
      <c r="A4" s="80" t="s">
        <v>612</v>
      </c>
      <c r="B4" s="81" t="s">
        <v>613</v>
      </c>
      <c r="C4" s="81" t="s">
        <v>614</v>
      </c>
      <c r="D4" s="81" t="s">
        <v>615</v>
      </c>
      <c r="E4" s="80" t="s">
        <v>97</v>
      </c>
    </row>
    <row r="5" spans="1:5" x14ac:dyDescent="0.25">
      <c r="A5" s="82" t="s">
        <v>616</v>
      </c>
      <c r="B5" s="83" t="s">
        <v>617</v>
      </c>
      <c r="C5" s="83" t="s">
        <v>618</v>
      </c>
      <c r="D5" s="83" t="s">
        <v>619</v>
      </c>
      <c r="E5" s="82" t="s">
        <v>620</v>
      </c>
    </row>
    <row r="6" spans="1:5" x14ac:dyDescent="0.25">
      <c r="A6" s="82" t="s">
        <v>621</v>
      </c>
      <c r="B6" s="83" t="s">
        <v>622</v>
      </c>
      <c r="C6" s="83" t="s">
        <v>623</v>
      </c>
      <c r="D6" s="83" t="s">
        <v>623</v>
      </c>
      <c r="E6" s="82" t="s">
        <v>624</v>
      </c>
    </row>
    <row r="7" spans="1:5" x14ac:dyDescent="0.25">
      <c r="A7" s="82" t="s">
        <v>625</v>
      </c>
      <c r="B7" s="83" t="s">
        <v>626</v>
      </c>
      <c r="C7" s="83" t="s">
        <v>623</v>
      </c>
      <c r="D7" s="83" t="s">
        <v>627</v>
      </c>
      <c r="E7" s="82" t="s">
        <v>628</v>
      </c>
    </row>
    <row r="8" spans="1:5" x14ac:dyDescent="0.25">
      <c r="A8" s="82" t="s">
        <v>629</v>
      </c>
      <c r="B8" s="83" t="s">
        <v>630</v>
      </c>
      <c r="C8" s="83" t="s">
        <v>623</v>
      </c>
      <c r="D8" s="83" t="s">
        <v>631</v>
      </c>
      <c r="E8" s="82" t="s">
        <v>632</v>
      </c>
    </row>
  </sheetData>
  <mergeCells count="2">
    <mergeCell ref="A2:E2"/>
    <mergeCell ref="A1:E1"/>
  </mergeCells>
  <conditionalFormatting sqref="A1:E8">
    <cfRule type="expression" dxfId="9" priority="1">
      <formula>_xludf.ISFORMULA(A1)</formula>
    </cfRule>
    <cfRule type="expression" dxfId="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6A1B9A"/>
  </sheetPr>
  <dimension ref="A1:C7"/>
  <sheetViews>
    <sheetView showGridLines="0" workbookViewId="0"/>
  </sheetViews>
  <sheetFormatPr defaultRowHeight="15" x14ac:dyDescent="0.25"/>
  <cols>
    <col min="1" max="1" width="24.5703125" bestFit="1" customWidth="1"/>
    <col min="2" max="2" width="19" bestFit="1" customWidth="1"/>
    <col min="3" max="3" width="18.5703125" bestFit="1" customWidth="1"/>
  </cols>
  <sheetData>
    <row r="1" spans="1:3" ht="30" customHeight="1" x14ac:dyDescent="0.25">
      <c r="A1" s="111" t="s">
        <v>633</v>
      </c>
      <c r="B1" s="96"/>
      <c r="C1" s="96"/>
    </row>
    <row r="2" spans="1:3" ht="18" customHeight="1" x14ac:dyDescent="0.25">
      <c r="A2" s="95" t="s">
        <v>634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635</v>
      </c>
      <c r="B4" s="76">
        <f>'Financing &amp; returns'!B5</f>
        <v>10</v>
      </c>
      <c r="C4" s="17" t="s">
        <v>636</v>
      </c>
    </row>
    <row r="5" spans="1:3" x14ac:dyDescent="0.25">
      <c r="A5" s="13" t="s">
        <v>637</v>
      </c>
      <c r="B5" s="76">
        <f>'Financing &amp; returns'!B6</f>
        <v>6</v>
      </c>
    </row>
    <row r="6" spans="1:3" x14ac:dyDescent="0.25">
      <c r="A6" s="13" t="s">
        <v>638</v>
      </c>
      <c r="B6" s="26" t="s">
        <v>639</v>
      </c>
      <c r="C6" s="17" t="s">
        <v>640</v>
      </c>
    </row>
    <row r="7" spans="1:3" x14ac:dyDescent="0.25">
      <c r="A7" s="13" t="s">
        <v>641</v>
      </c>
      <c r="B7" s="26" t="s">
        <v>642</v>
      </c>
      <c r="C7" s="17" t="s">
        <v>643</v>
      </c>
    </row>
  </sheetData>
  <mergeCells count="2">
    <mergeCell ref="A1:C1"/>
    <mergeCell ref="A2:C2"/>
  </mergeCells>
  <conditionalFormatting sqref="A1:C7">
    <cfRule type="expression" dxfId="7" priority="1">
      <formula>_xludf.ISFORMULA(A1)</formula>
    </cfRule>
    <cfRule type="expression" dxfId="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455A64"/>
  </sheetPr>
  <dimension ref="A1:B12"/>
  <sheetViews>
    <sheetView showGridLines="0" workbookViewId="0"/>
  </sheetViews>
  <sheetFormatPr defaultRowHeight="15" x14ac:dyDescent="0.25"/>
  <cols>
    <col min="1" max="1" width="13.140625" bestFit="1" customWidth="1"/>
    <col min="2" max="2" width="56" bestFit="1" customWidth="1"/>
  </cols>
  <sheetData>
    <row r="1" spans="1:2" ht="30" customHeight="1" x14ac:dyDescent="0.25">
      <c r="A1" s="118" t="s">
        <v>644</v>
      </c>
      <c r="B1" s="96"/>
    </row>
    <row r="2" spans="1:2" ht="18" customHeight="1" x14ac:dyDescent="0.25">
      <c r="A2" s="95" t="s">
        <v>645</v>
      </c>
      <c r="B2" s="96"/>
    </row>
    <row r="4" spans="1:2" x14ac:dyDescent="0.25">
      <c r="A4" s="18" t="s">
        <v>646</v>
      </c>
      <c r="B4" s="79" t="s">
        <v>647</v>
      </c>
    </row>
    <row r="5" spans="1:2" x14ac:dyDescent="0.25">
      <c r="A5" s="18" t="s">
        <v>648</v>
      </c>
      <c r="B5" s="79" t="s">
        <v>649</v>
      </c>
    </row>
    <row r="6" spans="1:2" x14ac:dyDescent="0.25">
      <c r="A6" s="18" t="s">
        <v>650</v>
      </c>
      <c r="B6" s="79" t="s">
        <v>651</v>
      </c>
    </row>
    <row r="7" spans="1:2" x14ac:dyDescent="0.25">
      <c r="A7" s="18" t="s">
        <v>4</v>
      </c>
      <c r="B7" s="79" t="s">
        <v>652</v>
      </c>
    </row>
    <row r="8" spans="1:2" x14ac:dyDescent="0.25">
      <c r="A8" s="18" t="s">
        <v>297</v>
      </c>
      <c r="B8" s="79" t="s">
        <v>653</v>
      </c>
    </row>
    <row r="9" spans="1:2" x14ac:dyDescent="0.25">
      <c r="A9" s="18" t="s">
        <v>654</v>
      </c>
      <c r="B9" s="79" t="s">
        <v>655</v>
      </c>
    </row>
    <row r="10" spans="1:2" x14ac:dyDescent="0.25">
      <c r="A10" s="18" t="s">
        <v>656</v>
      </c>
      <c r="B10" s="79" t="s">
        <v>657</v>
      </c>
    </row>
    <row r="11" spans="1:2" x14ac:dyDescent="0.25">
      <c r="A11" s="18" t="s">
        <v>658</v>
      </c>
      <c r="B11" s="79" t="s">
        <v>659</v>
      </c>
    </row>
    <row r="12" spans="1:2" x14ac:dyDescent="0.25">
      <c r="A12" s="18" t="s">
        <v>660</v>
      </c>
      <c r="B12" s="79" t="s">
        <v>661</v>
      </c>
    </row>
  </sheetData>
  <mergeCells count="2">
    <mergeCell ref="A2:B2"/>
    <mergeCell ref="A1:B1"/>
  </mergeCells>
  <conditionalFormatting sqref="A1:B12">
    <cfRule type="expression" dxfId="5" priority="1">
      <formula>_xludf.ISFORMULA(A1)</formula>
    </cfRule>
    <cfRule type="expression" dxfId="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455A64"/>
  </sheetPr>
  <dimension ref="A1:B8"/>
  <sheetViews>
    <sheetView showGridLines="0" workbookViewId="0"/>
  </sheetViews>
  <sheetFormatPr defaultRowHeight="15" x14ac:dyDescent="0.25"/>
  <cols>
    <col min="1" max="1" width="22.140625" bestFit="1" customWidth="1"/>
    <col min="2" max="2" width="64" bestFit="1" customWidth="1"/>
  </cols>
  <sheetData>
    <row r="1" spans="1:2" ht="30" customHeight="1" x14ac:dyDescent="0.25">
      <c r="A1" s="118" t="s">
        <v>662</v>
      </c>
      <c r="B1" s="96"/>
    </row>
    <row r="2" spans="1:2" ht="18" customHeight="1" x14ac:dyDescent="0.25">
      <c r="A2" s="95" t="s">
        <v>663</v>
      </c>
      <c r="B2" s="96"/>
    </row>
    <row r="4" spans="1:2" x14ac:dyDescent="0.25">
      <c r="A4" s="18" t="s">
        <v>664</v>
      </c>
      <c r="B4" s="79" t="s">
        <v>665</v>
      </c>
    </row>
    <row r="5" spans="1:2" x14ac:dyDescent="0.25">
      <c r="A5" s="18" t="s">
        <v>666</v>
      </c>
      <c r="B5" s="79" t="s">
        <v>667</v>
      </c>
    </row>
    <row r="6" spans="1:2" x14ac:dyDescent="0.25">
      <c r="A6" s="18" t="s">
        <v>126</v>
      </c>
      <c r="B6" s="79" t="s">
        <v>668</v>
      </c>
    </row>
    <row r="7" spans="1:2" x14ac:dyDescent="0.25">
      <c r="A7" s="18" t="s">
        <v>223</v>
      </c>
      <c r="B7" s="79" t="s">
        <v>669</v>
      </c>
    </row>
    <row r="8" spans="1:2" x14ac:dyDescent="0.25">
      <c r="A8" s="18" t="s">
        <v>300</v>
      </c>
      <c r="B8" s="79" t="s">
        <v>670</v>
      </c>
    </row>
  </sheetData>
  <mergeCells count="2">
    <mergeCell ref="A2:B2"/>
    <mergeCell ref="A1:B1"/>
  </mergeCells>
  <conditionalFormatting sqref="A1:B8">
    <cfRule type="expression" dxfId="3" priority="1">
      <formula>_xludf.ISFORMULA(A1)</formula>
    </cfRule>
    <cfRule type="expression" dxfId="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A8A83"/>
  </sheetPr>
  <dimension ref="A1:C17"/>
  <sheetViews>
    <sheetView showGridLines="0" workbookViewId="0"/>
  </sheetViews>
  <sheetFormatPr defaultRowHeight="15" x14ac:dyDescent="0.25"/>
  <cols>
    <col min="1" max="1" width="27.5703125" bestFit="1" customWidth="1"/>
    <col min="2" max="2" width="19" bestFit="1" customWidth="1"/>
    <col min="3" max="3" width="45.7109375" bestFit="1" customWidth="1"/>
  </cols>
  <sheetData>
    <row r="1" spans="1:3" ht="30" customHeight="1" x14ac:dyDescent="0.25">
      <c r="A1" s="98" t="s">
        <v>60</v>
      </c>
      <c r="B1" s="96"/>
      <c r="C1" s="96"/>
    </row>
    <row r="2" spans="1:3" ht="18" customHeight="1" x14ac:dyDescent="0.25">
      <c r="A2" s="95" t="s">
        <v>61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62</v>
      </c>
    </row>
    <row r="5" spans="1:3" x14ac:dyDescent="0.25">
      <c r="A5" s="13" t="s">
        <v>11</v>
      </c>
      <c r="B5" s="27">
        <f>'Proforma (monthly)'!G77</f>
        <v>50898735.186000004</v>
      </c>
    </row>
    <row r="6" spans="1:3" x14ac:dyDescent="0.25">
      <c r="A6" s="13" t="s">
        <v>63</v>
      </c>
      <c r="B6" s="29">
        <f>'Proforma (monthly)'!G77/'Proforma (monthly)'!G65-1</f>
        <v>1.3922651933701657</v>
      </c>
      <c r="C6" s="17" t="s">
        <v>64</v>
      </c>
    </row>
    <row r="7" spans="1:3" x14ac:dyDescent="0.25">
      <c r="A7" s="13" t="s">
        <v>65</v>
      </c>
      <c r="B7" s="29">
        <f>('Proforma (monthly)'!F77-'Proforma (monthly)'!H77)/'Proforma (monthly)'!F77</f>
        <v>0.78330321554208282</v>
      </c>
    </row>
    <row r="8" spans="1:3" x14ac:dyDescent="0.25">
      <c r="A8" s="13" t="s">
        <v>16</v>
      </c>
      <c r="B8" s="29">
        <f>Returns!B19/'Proforma (monthly)'!G77</f>
        <v>0.65077119937180605</v>
      </c>
    </row>
    <row r="9" spans="1:3" x14ac:dyDescent="0.25">
      <c r="A9" s="13" t="s">
        <v>66</v>
      </c>
      <c r="B9" s="29">
        <f>('Proforma (monthly)'!G77/'Proforma (monthly)'!G65-1)+Returns!B19/'Proforma (monthly)'!G77</f>
        <v>2.0430363927419717</v>
      </c>
      <c r="C9" s="17" t="s">
        <v>67</v>
      </c>
    </row>
    <row r="11" spans="1:3" ht="15.75" x14ac:dyDescent="0.25">
      <c r="A11" s="12" t="s">
        <v>68</v>
      </c>
    </row>
    <row r="12" spans="1:3" x14ac:dyDescent="0.25">
      <c r="A12" s="13" t="s">
        <v>69</v>
      </c>
      <c r="B12" s="27">
        <f>'Proforma (monthly)'!G77/'Proforma (monthly)'!D77</f>
        <v>147003.68205074646</v>
      </c>
    </row>
    <row r="13" spans="1:3" x14ac:dyDescent="0.25">
      <c r="A13" s="13" t="s">
        <v>70</v>
      </c>
      <c r="B13" s="27">
        <f>SUM('Proforma (monthly)'!I66:I77)/SUM('Proforma (monthly)'!C66:C77)</f>
        <v>30097.329986040517</v>
      </c>
      <c r="C13" s="17" t="s">
        <v>71</v>
      </c>
    </row>
    <row r="14" spans="1:3" x14ac:dyDescent="0.25">
      <c r="A14" s="13" t="s">
        <v>72</v>
      </c>
      <c r="B14" s="27">
        <f>('Proforma (monthly)'!G77/'Proforma (monthly)'!D77)*(('Proforma (monthly)'!F77-'Proforma (monthly)'!H77)/'Proforma (monthly)'!F77)/'Growth &amp; timing'!B12</f>
        <v>2302969.136937513</v>
      </c>
      <c r="C14" s="17" t="s">
        <v>73</v>
      </c>
    </row>
    <row r="15" spans="1:3" x14ac:dyDescent="0.25">
      <c r="A15" s="13" t="s">
        <v>74</v>
      </c>
      <c r="B15" s="30">
        <f>(('Proforma (monthly)'!G77/'Proforma (monthly)'!D77)*(('Proforma (monthly)'!F77-'Proforma (monthly)'!H77)/'Proforma (monthly)'!F77)/'Growth &amp; timing'!B12)/(SUM('Proforma (monthly)'!I66:I77)/SUM('Proforma (monthly)'!C66:C77))</f>
        <v>76.517390014518099</v>
      </c>
    </row>
    <row r="16" spans="1:3" x14ac:dyDescent="0.25">
      <c r="A16" s="13" t="s">
        <v>75</v>
      </c>
      <c r="B16" s="28">
        <f>IFERROR(INDEX('Proforma (monthly)'!A6:A77,MATCH(1,INDEX(--('Proforma (monthly)'!J6:J77&gt;0),0),0)),0)</f>
        <v>40</v>
      </c>
      <c r="C16" s="17" t="s">
        <v>76</v>
      </c>
    </row>
    <row r="17" spans="1:3" x14ac:dyDescent="0.25">
      <c r="A17" s="13" t="s">
        <v>77</v>
      </c>
      <c r="B17" s="29">
        <f>1</f>
        <v>1</v>
      </c>
      <c r="C17" s="17" t="s">
        <v>78</v>
      </c>
    </row>
  </sheetData>
  <mergeCells count="2">
    <mergeCell ref="A1:C1"/>
    <mergeCell ref="A2:C2"/>
  </mergeCells>
  <conditionalFormatting sqref="A1:C17">
    <cfRule type="expression" dxfId="95" priority="1">
      <formula>_xludf.ISFORMULA(A1)</formula>
    </cfRule>
    <cfRule type="expression" dxfId="9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455A64"/>
  </sheetPr>
  <dimension ref="A1:C73"/>
  <sheetViews>
    <sheetView showGridLines="0" workbookViewId="0"/>
  </sheetViews>
  <sheetFormatPr defaultRowHeight="15" x14ac:dyDescent="0.25"/>
  <cols>
    <col min="1" max="1" width="47.85546875" bestFit="1" customWidth="1"/>
    <col min="2" max="2" width="22.28515625" bestFit="1" customWidth="1"/>
    <col min="3" max="3" width="64.7109375" style="125" customWidth="1"/>
  </cols>
  <sheetData>
    <row r="1" spans="1:3" ht="21" x14ac:dyDescent="0.25">
      <c r="A1" s="118" t="s">
        <v>671</v>
      </c>
      <c r="B1" s="96"/>
      <c r="C1" s="96"/>
    </row>
    <row r="2" spans="1:3" x14ac:dyDescent="0.25">
      <c r="A2" s="95" t="s">
        <v>672</v>
      </c>
      <c r="B2" s="96"/>
      <c r="C2" s="96"/>
    </row>
    <row r="3" spans="1:3" x14ac:dyDescent="0.25">
      <c r="A3" s="33" t="s">
        <v>94</v>
      </c>
      <c r="B3" s="33" t="s">
        <v>95</v>
      </c>
      <c r="C3" s="132" t="s">
        <v>673</v>
      </c>
    </row>
    <row r="4" spans="1:3" ht="25.5" x14ac:dyDescent="0.25">
      <c r="A4" s="13" t="s">
        <v>98</v>
      </c>
      <c r="B4" s="84">
        <f>'Growth &amp; timing'!B5</f>
        <v>10</v>
      </c>
      <c r="C4" s="124" t="s">
        <v>674</v>
      </c>
    </row>
    <row r="5" spans="1:3" ht="76.5" x14ac:dyDescent="0.25">
      <c r="A5" s="13" t="s">
        <v>101</v>
      </c>
      <c r="B5" s="85">
        <f>'Growth &amp; timing'!B6</f>
        <v>2.5</v>
      </c>
      <c r="C5" s="124" t="s">
        <v>675</v>
      </c>
    </row>
    <row r="6" spans="1:3" ht="25.5" x14ac:dyDescent="0.25">
      <c r="A6" s="13" t="s">
        <v>104</v>
      </c>
      <c r="B6" s="86">
        <f>'Growth &amp; timing'!B7</f>
        <v>0.7</v>
      </c>
      <c r="C6" s="124" t="s">
        <v>676</v>
      </c>
    </row>
    <row r="7" spans="1:3" ht="25.5" x14ac:dyDescent="0.25">
      <c r="A7" s="13" t="s">
        <v>107</v>
      </c>
      <c r="B7" s="84">
        <f>'Growth &amp; timing'!B8</f>
        <v>1</v>
      </c>
      <c r="C7" s="124" t="s">
        <v>677</v>
      </c>
    </row>
    <row r="8" spans="1:3" ht="25.5" x14ac:dyDescent="0.25">
      <c r="A8" s="13" t="s">
        <v>110</v>
      </c>
      <c r="B8" s="84">
        <f>'Growth &amp; timing'!B9</f>
        <v>6</v>
      </c>
      <c r="C8" s="124" t="s">
        <v>678</v>
      </c>
    </row>
    <row r="9" spans="1:3" ht="25.5" x14ac:dyDescent="0.25">
      <c r="A9" s="13" t="s">
        <v>112</v>
      </c>
      <c r="B9" s="84">
        <f>'Growth &amp; timing'!B10</f>
        <v>1</v>
      </c>
      <c r="C9" s="124" t="s">
        <v>679</v>
      </c>
    </row>
    <row r="10" spans="1:3" ht="63.75" x14ac:dyDescent="0.25">
      <c r="A10" s="13" t="s">
        <v>115</v>
      </c>
      <c r="B10" s="86">
        <f>'Growth &amp; timing'!B11</f>
        <v>1.39</v>
      </c>
      <c r="C10" s="124" t="s">
        <v>680</v>
      </c>
    </row>
    <row r="11" spans="1:3" x14ac:dyDescent="0.25">
      <c r="A11" s="13" t="s">
        <v>118</v>
      </c>
      <c r="B11" s="87">
        <f>'Growth &amp; timing'!B12</f>
        <v>0.05</v>
      </c>
      <c r="C11" s="124" t="s">
        <v>681</v>
      </c>
    </row>
    <row r="12" spans="1:3" ht="38.25" x14ac:dyDescent="0.25">
      <c r="A12" s="13" t="s">
        <v>121</v>
      </c>
      <c r="B12" s="88">
        <f>'Growth &amp; timing'!B13</f>
        <v>500000</v>
      </c>
      <c r="C12" s="124" t="s">
        <v>682</v>
      </c>
    </row>
    <row r="13" spans="1:3" ht="38.25" x14ac:dyDescent="0.25">
      <c r="A13" s="13" t="s">
        <v>124</v>
      </c>
      <c r="B13" s="86">
        <f>'Growth &amp; timing'!B14</f>
        <v>0.05</v>
      </c>
      <c r="C13" s="124" t="s">
        <v>683</v>
      </c>
    </row>
    <row r="14" spans="1:3" ht="25.5" x14ac:dyDescent="0.25">
      <c r="A14" s="13" t="s">
        <v>127</v>
      </c>
      <c r="B14" s="88">
        <f>Pricing!B5</f>
        <v>595</v>
      </c>
      <c r="C14" s="124" t="s">
        <v>684</v>
      </c>
    </row>
    <row r="15" spans="1:3" ht="25.5" x14ac:dyDescent="0.25">
      <c r="A15" s="13" t="s">
        <v>130</v>
      </c>
      <c r="B15" s="88">
        <f>Pricing!B6</f>
        <v>395</v>
      </c>
      <c r="C15" s="124" t="s">
        <v>685</v>
      </c>
    </row>
    <row r="16" spans="1:3" ht="38.25" x14ac:dyDescent="0.25">
      <c r="A16" s="13" t="s">
        <v>132</v>
      </c>
      <c r="B16" s="87">
        <f>Pricing!B7</f>
        <v>0.67</v>
      </c>
      <c r="C16" s="124" t="s">
        <v>686</v>
      </c>
    </row>
    <row r="17" spans="1:3" ht="25.5" x14ac:dyDescent="0.25">
      <c r="A17" s="13" t="s">
        <v>135</v>
      </c>
      <c r="B17" s="87">
        <f>Pricing!B8</f>
        <v>4.9000000000000002E-2</v>
      </c>
      <c r="C17" s="124" t="s">
        <v>687</v>
      </c>
    </row>
    <row r="18" spans="1:3" ht="25.5" x14ac:dyDescent="0.25">
      <c r="A18" s="13" t="s">
        <v>137</v>
      </c>
      <c r="B18" s="87">
        <f>Pricing!B9</f>
        <v>0.9</v>
      </c>
      <c r="C18" s="124" t="s">
        <v>688</v>
      </c>
    </row>
    <row r="19" spans="1:3" ht="25.5" x14ac:dyDescent="0.25">
      <c r="A19" s="13" t="s">
        <v>157</v>
      </c>
      <c r="B19" s="84">
        <f>'Financing &amp; returns'!B5</f>
        <v>10</v>
      </c>
      <c r="C19" s="124" t="s">
        <v>689</v>
      </c>
    </row>
    <row r="20" spans="1:3" x14ac:dyDescent="0.25">
      <c r="A20" s="13" t="s">
        <v>160</v>
      </c>
      <c r="B20" s="84">
        <f>'Financing &amp; returns'!B6</f>
        <v>6</v>
      </c>
      <c r="C20" s="124" t="s">
        <v>690</v>
      </c>
    </row>
    <row r="21" spans="1:3" ht="25.5" x14ac:dyDescent="0.25">
      <c r="A21" s="13" t="s">
        <v>140</v>
      </c>
      <c r="B21" s="84">
        <f>'Throughput → collections'!B5</f>
        <v>20</v>
      </c>
      <c r="C21" s="124" t="s">
        <v>691</v>
      </c>
    </row>
    <row r="22" spans="1:3" ht="25.5" x14ac:dyDescent="0.25">
      <c r="A22" s="13" t="s">
        <v>143</v>
      </c>
      <c r="B22" s="84">
        <f>'Throughput → collections'!B6</f>
        <v>28</v>
      </c>
      <c r="C22" s="124" t="s">
        <v>692</v>
      </c>
    </row>
    <row r="23" spans="1:3" ht="25.5" x14ac:dyDescent="0.25">
      <c r="A23" s="13" t="s">
        <v>693</v>
      </c>
      <c r="B23" s="84">
        <f>'Throughput → collections'!B7</f>
        <v>3</v>
      </c>
      <c r="C23" s="124" t="s">
        <v>694</v>
      </c>
    </row>
    <row r="24" spans="1:3" ht="25.5" x14ac:dyDescent="0.25">
      <c r="A24" s="13" t="s">
        <v>148</v>
      </c>
      <c r="B24" s="84">
        <f>'Throughput → collections'!B8</f>
        <v>255</v>
      </c>
      <c r="C24" s="124" t="s">
        <v>695</v>
      </c>
    </row>
    <row r="25" spans="1:3" ht="25.5" x14ac:dyDescent="0.25">
      <c r="A25" s="13" t="s">
        <v>151</v>
      </c>
      <c r="B25" s="88">
        <f>'Throughput → collections'!B9</f>
        <v>150</v>
      </c>
      <c r="C25" s="124" t="s">
        <v>696</v>
      </c>
    </row>
    <row r="26" spans="1:3" ht="25.5" x14ac:dyDescent="0.25">
      <c r="A26" s="13" t="s">
        <v>154</v>
      </c>
      <c r="B26" s="86">
        <f>'Throughput → collections'!B10</f>
        <v>1.1100000000000001</v>
      </c>
      <c r="C26" s="124" t="s">
        <v>697</v>
      </c>
    </row>
    <row r="27" spans="1:3" x14ac:dyDescent="0.25">
      <c r="A27" s="13" t="s">
        <v>162</v>
      </c>
      <c r="B27" s="88">
        <f>'Financing &amp; returns'!B7</f>
        <v>4000000</v>
      </c>
      <c r="C27" s="124" t="s">
        <v>698</v>
      </c>
    </row>
    <row r="28" spans="1:3" ht="25.5" x14ac:dyDescent="0.25">
      <c r="A28" s="13" t="s">
        <v>164</v>
      </c>
      <c r="B28" s="88">
        <f>'Financing &amp; returns'!B8</f>
        <v>300000</v>
      </c>
      <c r="C28" s="124" t="s">
        <v>699</v>
      </c>
    </row>
    <row r="29" spans="1:3" x14ac:dyDescent="0.25">
      <c r="A29" s="13" t="s">
        <v>166</v>
      </c>
      <c r="B29" s="88">
        <f>'Financing &amp; returns'!B9</f>
        <v>16000000</v>
      </c>
      <c r="C29" s="124" t="s">
        <v>700</v>
      </c>
    </row>
    <row r="30" spans="1:3" ht="25.5" x14ac:dyDescent="0.25">
      <c r="A30" s="13" t="s">
        <v>168</v>
      </c>
      <c r="B30" s="87">
        <f>'Financing &amp; returns'!B10</f>
        <v>0.2</v>
      </c>
      <c r="C30" s="124" t="s">
        <v>701</v>
      </c>
    </row>
    <row r="31" spans="1:3" ht="25.5" x14ac:dyDescent="0.25">
      <c r="A31" s="13" t="s">
        <v>170</v>
      </c>
      <c r="B31" s="86">
        <f>'Financing &amp; returns'!B11</f>
        <v>1</v>
      </c>
      <c r="C31" s="124" t="s">
        <v>702</v>
      </c>
    </row>
    <row r="32" spans="1:3" ht="25.5" x14ac:dyDescent="0.25">
      <c r="A32" s="13" t="s">
        <v>172</v>
      </c>
      <c r="B32" s="89">
        <f>'Financing &amp; returns'!B12</f>
        <v>0</v>
      </c>
      <c r="C32" s="124" t="s">
        <v>703</v>
      </c>
    </row>
    <row r="33" spans="1:3" x14ac:dyDescent="0.25">
      <c r="A33" s="13" t="s">
        <v>174</v>
      </c>
      <c r="B33" s="84">
        <f>'Financing &amp; returns'!B13</f>
        <v>30</v>
      </c>
      <c r="C33" s="124" t="s">
        <v>704</v>
      </c>
    </row>
    <row r="34" spans="1:3" ht="38.25" x14ac:dyDescent="0.25">
      <c r="A34" s="13" t="s">
        <v>224</v>
      </c>
      <c r="B34" s="84">
        <f>Staffing!B5</f>
        <v>10</v>
      </c>
      <c r="C34" s="124" t="s">
        <v>705</v>
      </c>
    </row>
    <row r="35" spans="1:3" x14ac:dyDescent="0.25">
      <c r="A35" s="13" t="s">
        <v>177</v>
      </c>
      <c r="B35" s="90">
        <f>'Financing &amp; returns'!B14</f>
        <v>6</v>
      </c>
      <c r="C35" s="124" t="s">
        <v>706</v>
      </c>
    </row>
    <row r="36" spans="1:3" ht="25.5" x14ac:dyDescent="0.25">
      <c r="A36" s="13" t="s">
        <v>179</v>
      </c>
      <c r="B36" s="84">
        <f>'Financing &amp; returns'!B15</f>
        <v>40</v>
      </c>
      <c r="C36" s="124" t="s">
        <v>707</v>
      </c>
    </row>
    <row r="37" spans="1:3" ht="25.5" x14ac:dyDescent="0.25">
      <c r="A37" s="13" t="s">
        <v>182</v>
      </c>
      <c r="B37" s="87">
        <f>'Financing &amp; returns'!B16</f>
        <v>0.21</v>
      </c>
      <c r="C37" s="124" t="s">
        <v>708</v>
      </c>
    </row>
    <row r="38" spans="1:3" ht="25.5" x14ac:dyDescent="0.25">
      <c r="A38" s="13" t="s">
        <v>185</v>
      </c>
      <c r="B38" s="88">
        <f>'Operating costs (fixed)'!B5</f>
        <v>8000</v>
      </c>
      <c r="C38" s="124" t="s">
        <v>709</v>
      </c>
    </row>
    <row r="39" spans="1:3" ht="25.5" x14ac:dyDescent="0.25">
      <c r="A39" s="13" t="s">
        <v>188</v>
      </c>
      <c r="B39" s="88">
        <f>'Operating costs (fixed)'!B6</f>
        <v>5500</v>
      </c>
      <c r="C39" s="124" t="s">
        <v>710</v>
      </c>
    </row>
    <row r="40" spans="1:3" ht="51" x14ac:dyDescent="0.25">
      <c r="A40" s="13" t="s">
        <v>190</v>
      </c>
      <c r="B40" s="88">
        <f>'Operating costs (fixed)'!B7</f>
        <v>4000</v>
      </c>
      <c r="C40" s="124" t="s">
        <v>711</v>
      </c>
    </row>
    <row r="41" spans="1:3" ht="25.5" x14ac:dyDescent="0.25">
      <c r="A41" s="13" t="s">
        <v>192</v>
      </c>
      <c r="B41" s="84">
        <f>'Operating costs (fixed)'!B8</f>
        <v>3</v>
      </c>
      <c r="C41" s="124" t="s">
        <v>712</v>
      </c>
    </row>
    <row r="42" spans="1:3" ht="25.5" x14ac:dyDescent="0.25">
      <c r="A42" s="13" t="s">
        <v>194</v>
      </c>
      <c r="B42" s="88">
        <f>'Operating costs (fixed)'!B9</f>
        <v>4500</v>
      </c>
      <c r="C42" s="124" t="s">
        <v>713</v>
      </c>
    </row>
    <row r="43" spans="1:3" ht="25.5" x14ac:dyDescent="0.25">
      <c r="A43" s="13" t="s">
        <v>196</v>
      </c>
      <c r="B43" s="88">
        <f>'Operating costs (fixed)'!B10</f>
        <v>2500</v>
      </c>
      <c r="C43" s="124" t="s">
        <v>714</v>
      </c>
    </row>
    <row r="44" spans="1:3" ht="38.25" x14ac:dyDescent="0.25">
      <c r="A44" s="13" t="s">
        <v>198</v>
      </c>
      <c r="B44" s="89">
        <f>'Operating costs (fixed)'!B11</f>
        <v>0</v>
      </c>
      <c r="C44" s="124" t="s">
        <v>715</v>
      </c>
    </row>
    <row r="45" spans="1:3" ht="38.25" x14ac:dyDescent="0.25">
      <c r="A45" s="13" t="s">
        <v>201</v>
      </c>
      <c r="B45" s="89">
        <f>'Operating costs (fixed)'!B12</f>
        <v>0</v>
      </c>
      <c r="C45" s="124" t="s">
        <v>716</v>
      </c>
    </row>
    <row r="46" spans="1:3" ht="25.5" x14ac:dyDescent="0.25">
      <c r="A46" s="13" t="s">
        <v>203</v>
      </c>
      <c r="B46" s="87">
        <f>'Operating costs (fixed)'!B13</f>
        <v>0.4667</v>
      </c>
      <c r="C46" s="124" t="s">
        <v>717</v>
      </c>
    </row>
    <row r="47" spans="1:3" ht="25.5" x14ac:dyDescent="0.25">
      <c r="A47" s="13" t="s">
        <v>718</v>
      </c>
      <c r="B47" s="91">
        <f>'AI-Scribe &amp; Azure'!B31</f>
        <v>5.961640624999999E-2</v>
      </c>
      <c r="C47" s="124" t="s">
        <v>719</v>
      </c>
    </row>
    <row r="48" spans="1:3" x14ac:dyDescent="0.25">
      <c r="A48" s="13" t="s">
        <v>395</v>
      </c>
      <c r="B48" s="84">
        <f>'AI-Scribe &amp; Azure'!B5</f>
        <v>20</v>
      </c>
      <c r="C48" s="124" t="s">
        <v>720</v>
      </c>
    </row>
    <row r="49" spans="1:3" ht="25.5" x14ac:dyDescent="0.25">
      <c r="A49" s="13" t="s">
        <v>398</v>
      </c>
      <c r="B49" s="87">
        <f>'AI-Scribe &amp; Azure'!B6</f>
        <v>0.9</v>
      </c>
      <c r="C49" s="124" t="s">
        <v>721</v>
      </c>
    </row>
    <row r="50" spans="1:3" ht="25.5" x14ac:dyDescent="0.25">
      <c r="A50" s="13" t="s">
        <v>400</v>
      </c>
      <c r="B50" s="92">
        <f>'AI-Scribe &amp; Azure'!B7</f>
        <v>1.67E-2</v>
      </c>
      <c r="C50" s="124" t="s">
        <v>722</v>
      </c>
    </row>
    <row r="51" spans="1:3" ht="25.5" x14ac:dyDescent="0.25">
      <c r="A51" s="13" t="s">
        <v>403</v>
      </c>
      <c r="B51" s="84">
        <f>'AI-Scribe &amp; Azure'!B8</f>
        <v>6000</v>
      </c>
      <c r="C51" s="124" t="s">
        <v>723</v>
      </c>
    </row>
    <row r="52" spans="1:3" ht="25.5" x14ac:dyDescent="0.25">
      <c r="A52" s="13" t="s">
        <v>406</v>
      </c>
      <c r="B52" s="89">
        <f>'AI-Scribe &amp; Azure'!B9</f>
        <v>2</v>
      </c>
      <c r="C52" s="124" t="s">
        <v>724</v>
      </c>
    </row>
    <row r="53" spans="1:3" ht="25.5" x14ac:dyDescent="0.25">
      <c r="A53" s="13" t="s">
        <v>409</v>
      </c>
      <c r="B53" s="84">
        <f>'AI-Scribe &amp; Azure'!B10</f>
        <v>25</v>
      </c>
      <c r="C53" s="124" t="s">
        <v>725</v>
      </c>
    </row>
    <row r="54" spans="1:3" x14ac:dyDescent="0.25">
      <c r="A54" s="13" t="s">
        <v>412</v>
      </c>
      <c r="B54" s="89">
        <f>'AI-Scribe &amp; Azure'!B11</f>
        <v>1</v>
      </c>
      <c r="C54" s="124" t="s">
        <v>726</v>
      </c>
    </row>
    <row r="55" spans="1:3" ht="25.5" x14ac:dyDescent="0.25">
      <c r="A55" s="13" t="s">
        <v>415</v>
      </c>
      <c r="B55" s="86">
        <f>'AI-Scribe &amp; Azure'!B12</f>
        <v>0.12</v>
      </c>
      <c r="C55" s="124" t="s">
        <v>727</v>
      </c>
    </row>
    <row r="56" spans="1:3" x14ac:dyDescent="0.25">
      <c r="A56" s="13" t="s">
        <v>418</v>
      </c>
      <c r="B56" s="89">
        <f>'AI-Scribe &amp; Azure'!B13</f>
        <v>0.02</v>
      </c>
      <c r="C56" s="124" t="s">
        <v>728</v>
      </c>
    </row>
    <row r="57" spans="1:3" ht="25.5" x14ac:dyDescent="0.25">
      <c r="A57" s="13" t="s">
        <v>421</v>
      </c>
      <c r="B57" s="93">
        <f>'AI-Scribe &amp; Azure'!B14</f>
        <v>0.5</v>
      </c>
      <c r="C57" s="124" t="s">
        <v>729</v>
      </c>
    </row>
    <row r="58" spans="1:3" x14ac:dyDescent="0.25">
      <c r="A58" s="13" t="s">
        <v>424</v>
      </c>
      <c r="B58" s="89">
        <f>'AI-Scribe &amp; Azure'!B15</f>
        <v>0.25</v>
      </c>
      <c r="C58" s="124" t="s">
        <v>730</v>
      </c>
    </row>
    <row r="59" spans="1:3" x14ac:dyDescent="0.25">
      <c r="A59" s="13" t="s">
        <v>426</v>
      </c>
      <c r="B59" s="84">
        <f>'AI-Scribe &amp; Azure'!B16</f>
        <v>7</v>
      </c>
      <c r="C59" s="124" t="s">
        <v>731</v>
      </c>
    </row>
    <row r="60" spans="1:3" x14ac:dyDescent="0.25">
      <c r="A60" s="13" t="s">
        <v>428</v>
      </c>
      <c r="B60" s="84">
        <f>'AI-Scribe &amp; Azure'!B17</f>
        <v>7</v>
      </c>
      <c r="C60" s="124" t="s">
        <v>732</v>
      </c>
    </row>
    <row r="61" spans="1:3" x14ac:dyDescent="0.25">
      <c r="A61" s="13" t="s">
        <v>207</v>
      </c>
      <c r="B61" s="89">
        <f>'Cost-to-serve (per encounter-cl'!B5</f>
        <v>0.45</v>
      </c>
      <c r="C61" s="124" t="s">
        <v>733</v>
      </c>
    </row>
    <row r="62" spans="1:3" x14ac:dyDescent="0.25">
      <c r="A62" s="13" t="s">
        <v>210</v>
      </c>
      <c r="B62" s="85">
        <f>'Cost-to-serve (per encounter-cl'!B6</f>
        <v>1.05</v>
      </c>
      <c r="C62" s="124" t="s">
        <v>734</v>
      </c>
    </row>
    <row r="63" spans="1:3" x14ac:dyDescent="0.25">
      <c r="A63" s="13" t="s">
        <v>213</v>
      </c>
      <c r="B63" s="89">
        <f>'Cost-to-serve (per encounter-cl'!B7</f>
        <v>0.12</v>
      </c>
      <c r="C63" s="124" t="s">
        <v>735</v>
      </c>
    </row>
    <row r="64" spans="1:3" ht="51" x14ac:dyDescent="0.25">
      <c r="A64" s="13" t="s">
        <v>215</v>
      </c>
      <c r="B64" s="87">
        <f>'Cost-to-serve (per encounter-cl'!B8</f>
        <v>0</v>
      </c>
      <c r="C64" s="124" t="s">
        <v>736</v>
      </c>
    </row>
    <row r="65" spans="1:3" x14ac:dyDescent="0.25">
      <c r="A65" s="13" t="s">
        <v>217</v>
      </c>
      <c r="B65" s="88">
        <f>'Cost-to-serve (per encounter-cl'!B9</f>
        <v>300</v>
      </c>
      <c r="C65" s="124" t="s">
        <v>737</v>
      </c>
    </row>
    <row r="66" spans="1:3" x14ac:dyDescent="0.25">
      <c r="A66" s="13" t="s">
        <v>220</v>
      </c>
      <c r="B66" s="88">
        <f>'Cost-to-serve (per encounter-cl'!B10</f>
        <v>50000</v>
      </c>
      <c r="C66" s="124" t="s">
        <v>738</v>
      </c>
    </row>
    <row r="67" spans="1:3" x14ac:dyDescent="0.25">
      <c r="A67" s="13" t="s">
        <v>226</v>
      </c>
      <c r="B67" s="86">
        <f>Staffing!B6</f>
        <v>1.2</v>
      </c>
      <c r="C67" s="124" t="s">
        <v>739</v>
      </c>
    </row>
    <row r="68" spans="1:3" ht="25.5" x14ac:dyDescent="0.25">
      <c r="A68" s="13" t="s">
        <v>228</v>
      </c>
      <c r="B68" s="94" t="str">
        <f>Staffing!B7</f>
        <v>1.34, 1.21, 1.06, 1.0, 0.94</v>
      </c>
      <c r="C68" s="124" t="s">
        <v>740</v>
      </c>
    </row>
    <row r="70" spans="1:3" ht="15.75" x14ac:dyDescent="0.25">
      <c r="A70" s="12" t="s">
        <v>516</v>
      </c>
    </row>
    <row r="71" spans="1:3" ht="25.5" x14ac:dyDescent="0.25">
      <c r="A71" s="18" t="s">
        <v>741</v>
      </c>
      <c r="C71" s="124" t="s">
        <v>742</v>
      </c>
    </row>
    <row r="72" spans="1:3" x14ac:dyDescent="0.25">
      <c r="A72" s="18" t="s">
        <v>743</v>
      </c>
      <c r="C72" s="124" t="s">
        <v>744</v>
      </c>
    </row>
    <row r="73" spans="1:3" ht="25.5" x14ac:dyDescent="0.25">
      <c r="A73" s="18" t="s">
        <v>745</v>
      </c>
      <c r="C73" s="124" t="s">
        <v>746</v>
      </c>
    </row>
  </sheetData>
  <mergeCells count="2">
    <mergeCell ref="A1:C1"/>
    <mergeCell ref="A2:C2"/>
  </mergeCells>
  <conditionalFormatting sqref="A1:C73">
    <cfRule type="expression" dxfId="1" priority="1">
      <formula>_xludf.ISFORMULA(A1)</formula>
    </cfRule>
    <cfRule type="expression" dxfId="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A8A83"/>
  </sheetPr>
  <dimension ref="A1:G9"/>
  <sheetViews>
    <sheetView showGridLines="0" workbookViewId="0"/>
  </sheetViews>
  <sheetFormatPr defaultRowHeight="15" x14ac:dyDescent="0.25"/>
  <cols>
    <col min="1" max="1" width="20.42578125" bestFit="1" customWidth="1"/>
    <col min="2" max="2" width="8.5703125" bestFit="1" customWidth="1"/>
    <col min="3" max="5" width="10.140625" bestFit="1" customWidth="1"/>
    <col min="6" max="7" width="11.140625" bestFit="1" customWidth="1"/>
  </cols>
  <sheetData>
    <row r="1" spans="1:7" ht="30" customHeight="1" x14ac:dyDescent="0.25">
      <c r="A1" s="98" t="s">
        <v>79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80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87</v>
      </c>
      <c r="B5" s="27">
        <f>0</f>
        <v>0</v>
      </c>
      <c r="C5" s="27">
        <f>'Proforma (monthly)'!G17</f>
        <v>221057.99249999999</v>
      </c>
      <c r="D5" s="27">
        <f>'Proforma (monthly)'!G29</f>
        <v>1328524.2135000003</v>
      </c>
      <c r="E5" s="27">
        <f>'Proforma (monthly)'!G41</f>
        <v>3414448.9575000005</v>
      </c>
      <c r="F5" s="27">
        <f>'Proforma (monthly)'!G53</f>
        <v>8933727.1920000017</v>
      </c>
      <c r="G5" s="27">
        <f>'Proforma (monthly)'!G65</f>
        <v>21276376.602000002</v>
      </c>
    </row>
    <row r="6" spans="1:7" x14ac:dyDescent="0.25">
      <c r="A6" s="18" t="s">
        <v>88</v>
      </c>
      <c r="B6" s="32">
        <f>'Proforma (monthly)'!G17</f>
        <v>221057.99249999999</v>
      </c>
      <c r="C6" s="32">
        <f>'Proforma (monthly)'!G29</f>
        <v>1328524.2135000003</v>
      </c>
      <c r="D6" s="32">
        <f>'Proforma (monthly)'!G41</f>
        <v>3414448.9575000005</v>
      </c>
      <c r="E6" s="32">
        <f>'Proforma (monthly)'!G53</f>
        <v>8933727.1920000017</v>
      </c>
      <c r="F6" s="32">
        <f>'Proforma (monthly)'!G65</f>
        <v>21276376.602000002</v>
      </c>
      <c r="G6" s="32">
        <f>'Proforma (monthly)'!G77</f>
        <v>50898735.186000004</v>
      </c>
    </row>
    <row r="7" spans="1:7" x14ac:dyDescent="0.25">
      <c r="A7" s="13" t="s">
        <v>89</v>
      </c>
      <c r="B7" s="27">
        <f t="shared" ref="B7:G7" si="0">B6-B5</f>
        <v>221057.99249999999</v>
      </c>
      <c r="C7" s="27">
        <f t="shared" si="0"/>
        <v>1107466.2210000004</v>
      </c>
      <c r="D7" s="27">
        <f t="shared" si="0"/>
        <v>2085924.7440000002</v>
      </c>
      <c r="E7" s="27">
        <f t="shared" si="0"/>
        <v>5519278.2345000012</v>
      </c>
      <c r="F7" s="27">
        <f t="shared" si="0"/>
        <v>12342649.41</v>
      </c>
      <c r="G7" s="27">
        <f t="shared" si="0"/>
        <v>29622358.584000003</v>
      </c>
    </row>
    <row r="8" spans="1:7" x14ac:dyDescent="0.25">
      <c r="A8" s="13" t="s">
        <v>90</v>
      </c>
      <c r="B8" s="27">
        <f>-B5*'Growth &amp; timing'!B12</f>
        <v>0</v>
      </c>
      <c r="C8" s="27">
        <f>-C5*'Growth &amp; timing'!B12</f>
        <v>-11052.899625</v>
      </c>
      <c r="D8" s="27">
        <f>-D5*'Growth &amp; timing'!B12</f>
        <v>-66426.210675000024</v>
      </c>
      <c r="E8" s="27">
        <f>-E5*'Growth &amp; timing'!B12</f>
        <v>-170722.44787500004</v>
      </c>
      <c r="F8" s="27">
        <f>-F5*'Growth &amp; timing'!B12</f>
        <v>-446686.35960000008</v>
      </c>
      <c r="G8" s="27">
        <f>-G5*'Growth &amp; timing'!B12</f>
        <v>-1063818.8301000001</v>
      </c>
    </row>
    <row r="9" spans="1:7" x14ac:dyDescent="0.25">
      <c r="A9" s="13" t="s">
        <v>91</v>
      </c>
      <c r="B9" s="27">
        <f t="shared" ref="B9:G9" si="1">B7-B8</f>
        <v>221057.99249999999</v>
      </c>
      <c r="C9" s="27">
        <f t="shared" si="1"/>
        <v>1118519.1206250004</v>
      </c>
      <c r="D9" s="27">
        <f t="shared" si="1"/>
        <v>2152350.9546750002</v>
      </c>
      <c r="E9" s="27">
        <f t="shared" si="1"/>
        <v>5690000.6823750008</v>
      </c>
      <c r="F9" s="27">
        <f t="shared" si="1"/>
        <v>12789335.7696</v>
      </c>
      <c r="G9" s="27">
        <f t="shared" si="1"/>
        <v>30686177.414100002</v>
      </c>
    </row>
  </sheetData>
  <mergeCells count="2">
    <mergeCell ref="A2:G2"/>
    <mergeCell ref="A1:G1"/>
  </mergeCells>
  <conditionalFormatting sqref="A1:G9">
    <cfRule type="expression" dxfId="93" priority="1">
      <formula>_xludf.ISFORMULA(A1)</formula>
    </cfRule>
    <cfRule type="expression" dxfId="9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4A017"/>
  </sheetPr>
  <dimension ref="A1:D14"/>
  <sheetViews>
    <sheetView showGridLines="0" workbookViewId="0"/>
  </sheetViews>
  <sheetFormatPr defaultRowHeight="15" x14ac:dyDescent="0.25"/>
  <cols>
    <col min="1" max="1" width="36.28515625" bestFit="1" customWidth="1"/>
    <col min="2" max="2" width="19" bestFit="1" customWidth="1"/>
    <col min="3" max="3" width="11.28515625" bestFit="1" customWidth="1"/>
    <col min="4" max="4" width="64.7109375" style="125" customWidth="1"/>
  </cols>
  <sheetData>
    <row r="1" spans="1:4" ht="21" x14ac:dyDescent="0.25">
      <c r="A1" s="109" t="s">
        <v>92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98</v>
      </c>
      <c r="B5" s="34">
        <v>10</v>
      </c>
      <c r="C5" s="17" t="s">
        <v>99</v>
      </c>
      <c r="D5" s="124" t="s">
        <v>100</v>
      </c>
    </row>
    <row r="6" spans="1:4" ht="63.75" x14ac:dyDescent="0.25">
      <c r="A6" s="13" t="s">
        <v>101</v>
      </c>
      <c r="B6" s="35">
        <v>2.5</v>
      </c>
      <c r="C6" s="17" t="s">
        <v>102</v>
      </c>
      <c r="D6" s="124" t="s">
        <v>103</v>
      </c>
    </row>
    <row r="7" spans="1:4" x14ac:dyDescent="0.25">
      <c r="A7" s="13" t="s">
        <v>104</v>
      </c>
      <c r="B7" s="36">
        <v>0.7</v>
      </c>
      <c r="C7" s="17" t="s">
        <v>105</v>
      </c>
      <c r="D7" s="124" t="s">
        <v>106</v>
      </c>
    </row>
    <row r="8" spans="1:4" x14ac:dyDescent="0.25">
      <c r="A8" s="13" t="s">
        <v>107</v>
      </c>
      <c r="B8" s="34">
        <v>1</v>
      </c>
      <c r="C8" s="17" t="s">
        <v>108</v>
      </c>
      <c r="D8" s="124" t="s">
        <v>109</v>
      </c>
    </row>
    <row r="9" spans="1:4" ht="25.5" x14ac:dyDescent="0.25">
      <c r="A9" s="13" t="s">
        <v>110</v>
      </c>
      <c r="B9" s="34">
        <v>6</v>
      </c>
      <c r="C9" s="17" t="s">
        <v>99</v>
      </c>
      <c r="D9" s="124" t="s">
        <v>111</v>
      </c>
    </row>
    <row r="10" spans="1:4" x14ac:dyDescent="0.25">
      <c r="A10" s="13" t="s">
        <v>112</v>
      </c>
      <c r="B10" s="34">
        <v>1</v>
      </c>
      <c r="C10" s="17" t="s">
        <v>113</v>
      </c>
      <c r="D10" s="124" t="s">
        <v>114</v>
      </c>
    </row>
    <row r="11" spans="1:4" ht="63.75" x14ac:dyDescent="0.25">
      <c r="A11" s="13" t="s">
        <v>115</v>
      </c>
      <c r="B11" s="36">
        <v>1.39</v>
      </c>
      <c r="C11" s="17" t="s">
        <v>116</v>
      </c>
      <c r="D11" s="124" t="s">
        <v>117</v>
      </c>
    </row>
    <row r="12" spans="1:4" x14ac:dyDescent="0.25">
      <c r="A12" s="13" t="s">
        <v>118</v>
      </c>
      <c r="B12" s="37">
        <v>0.05</v>
      </c>
      <c r="C12" s="17" t="s">
        <v>119</v>
      </c>
      <c r="D12" s="124" t="s">
        <v>120</v>
      </c>
    </row>
    <row r="13" spans="1:4" ht="25.5" x14ac:dyDescent="0.25">
      <c r="A13" s="13" t="s">
        <v>121</v>
      </c>
      <c r="B13" s="38">
        <v>500000</v>
      </c>
      <c r="C13" s="17" t="s">
        <v>122</v>
      </c>
      <c r="D13" s="124" t="s">
        <v>123</v>
      </c>
    </row>
    <row r="14" spans="1:4" ht="25.5" x14ac:dyDescent="0.25">
      <c r="A14" s="13" t="s">
        <v>124</v>
      </c>
      <c r="B14" s="36">
        <v>0.05</v>
      </c>
      <c r="C14" s="17" t="s">
        <v>116</v>
      </c>
      <c r="D14" s="124" t="s">
        <v>125</v>
      </c>
    </row>
  </sheetData>
  <mergeCells count="2">
    <mergeCell ref="A1:D1"/>
    <mergeCell ref="A2:D2"/>
  </mergeCells>
  <conditionalFormatting sqref="A1:D14">
    <cfRule type="expression" dxfId="91" priority="1">
      <formula>_xludf.ISFORMULA(A1)</formula>
    </cfRule>
    <cfRule type="expression" dxfId="90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4A017"/>
  </sheetPr>
  <dimension ref="A1:D9"/>
  <sheetViews>
    <sheetView showGridLines="0" workbookViewId="0"/>
  </sheetViews>
  <sheetFormatPr defaultRowHeight="15" x14ac:dyDescent="0.25"/>
  <cols>
    <col min="1" max="1" width="29.28515625" bestFit="1" customWidth="1"/>
    <col min="2" max="2" width="19" bestFit="1" customWidth="1"/>
    <col min="3" max="3" width="12.7109375" bestFit="1" customWidth="1"/>
    <col min="4" max="4" width="64.7109375" style="125" customWidth="1"/>
  </cols>
  <sheetData>
    <row r="1" spans="1:4" ht="21" x14ac:dyDescent="0.25">
      <c r="A1" s="98" t="s">
        <v>126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127</v>
      </c>
      <c r="B5" s="38">
        <v>595</v>
      </c>
      <c r="C5" s="17" t="s">
        <v>128</v>
      </c>
      <c r="D5" s="124" t="s">
        <v>129</v>
      </c>
    </row>
    <row r="6" spans="1:4" x14ac:dyDescent="0.25">
      <c r="A6" s="13" t="s">
        <v>130</v>
      </c>
      <c r="B6" s="38">
        <v>395</v>
      </c>
      <c r="C6" s="17" t="s">
        <v>128</v>
      </c>
      <c r="D6" s="124" t="s">
        <v>131</v>
      </c>
    </row>
    <row r="7" spans="1:4" ht="25.5" x14ac:dyDescent="0.25">
      <c r="A7" s="13" t="s">
        <v>132</v>
      </c>
      <c r="B7" s="37">
        <v>0.67</v>
      </c>
      <c r="C7" s="17" t="s">
        <v>133</v>
      </c>
      <c r="D7" s="124" t="s">
        <v>134</v>
      </c>
    </row>
    <row r="8" spans="1:4" x14ac:dyDescent="0.25">
      <c r="A8" s="13" t="s">
        <v>135</v>
      </c>
      <c r="B8" s="37">
        <v>4.9000000000000002E-2</v>
      </c>
      <c r="C8" s="17" t="s">
        <v>133</v>
      </c>
      <c r="D8" s="124" t="s">
        <v>136</v>
      </c>
    </row>
    <row r="9" spans="1:4" x14ac:dyDescent="0.25">
      <c r="A9" s="13" t="s">
        <v>137</v>
      </c>
      <c r="B9" s="37">
        <v>0.9</v>
      </c>
      <c r="C9" s="17" t="s">
        <v>133</v>
      </c>
      <c r="D9" s="124" t="s">
        <v>138</v>
      </c>
    </row>
  </sheetData>
  <mergeCells count="2">
    <mergeCell ref="A1:D1"/>
    <mergeCell ref="A2:D2"/>
  </mergeCells>
  <conditionalFormatting sqref="A1:D9">
    <cfRule type="expression" dxfId="89" priority="1">
      <formula>_xludf.ISFORMULA(A1)</formula>
    </cfRule>
    <cfRule type="expression" dxfId="88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4A017"/>
  </sheetPr>
  <dimension ref="A1:D10"/>
  <sheetViews>
    <sheetView showGridLines="0" workbookViewId="0"/>
  </sheetViews>
  <sheetFormatPr defaultRowHeight="15" x14ac:dyDescent="0.25"/>
  <cols>
    <col min="1" max="1" width="39.28515625" bestFit="1" customWidth="1"/>
    <col min="2" max="2" width="19" bestFit="1" customWidth="1"/>
    <col min="3" max="3" width="13.5703125" bestFit="1" customWidth="1"/>
    <col min="4" max="4" width="64.7109375" style="125" customWidth="1"/>
  </cols>
  <sheetData>
    <row r="1" spans="1:4" ht="21" x14ac:dyDescent="0.25">
      <c r="A1" s="110" t="s">
        <v>139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140</v>
      </c>
      <c r="B5" s="34">
        <v>20</v>
      </c>
      <c r="C5" s="17" t="s">
        <v>141</v>
      </c>
      <c r="D5" s="124" t="s">
        <v>142</v>
      </c>
    </row>
    <row r="6" spans="1:4" ht="25.5" x14ac:dyDescent="0.25">
      <c r="A6" s="13" t="s">
        <v>143</v>
      </c>
      <c r="B6" s="34">
        <v>28</v>
      </c>
      <c r="C6" s="17" t="s">
        <v>141</v>
      </c>
      <c r="D6" s="124" t="s">
        <v>144</v>
      </c>
    </row>
    <row r="7" spans="1:4" x14ac:dyDescent="0.25">
      <c r="A7" s="13" t="s">
        <v>145</v>
      </c>
      <c r="B7" s="34">
        <v>3</v>
      </c>
      <c r="C7" s="17" t="s">
        <v>146</v>
      </c>
      <c r="D7" s="124" t="s">
        <v>147</v>
      </c>
    </row>
    <row r="8" spans="1:4" x14ac:dyDescent="0.25">
      <c r="A8" s="13" t="s">
        <v>148</v>
      </c>
      <c r="B8" s="34">
        <v>255</v>
      </c>
      <c r="C8" s="17" t="s">
        <v>149</v>
      </c>
      <c r="D8" s="124" t="s">
        <v>150</v>
      </c>
    </row>
    <row r="9" spans="1:4" ht="25.5" x14ac:dyDescent="0.25">
      <c r="A9" s="13" t="s">
        <v>151</v>
      </c>
      <c r="B9" s="38">
        <v>150</v>
      </c>
      <c r="C9" s="17" t="s">
        <v>152</v>
      </c>
      <c r="D9" s="124" t="s">
        <v>153</v>
      </c>
    </row>
    <row r="10" spans="1:4" x14ac:dyDescent="0.25">
      <c r="A10" s="13" t="s">
        <v>154</v>
      </c>
      <c r="B10" s="36">
        <v>1.1100000000000001</v>
      </c>
      <c r="C10" s="17" t="s">
        <v>105</v>
      </c>
      <c r="D10" s="124" t="s">
        <v>155</v>
      </c>
    </row>
  </sheetData>
  <mergeCells count="2">
    <mergeCell ref="A1:D1"/>
    <mergeCell ref="A2:D2"/>
  </mergeCells>
  <conditionalFormatting sqref="A1:D10">
    <cfRule type="expression" dxfId="87" priority="1">
      <formula>_xludf.ISFORMULA(A1)</formula>
    </cfRule>
    <cfRule type="expression" dxfId="86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Cover</vt:lpstr>
      <vt:lpstr>Investor Return</vt:lpstr>
      <vt:lpstr>Snapshot</vt:lpstr>
      <vt:lpstr>Exec Summary</vt:lpstr>
      <vt:lpstr>SaaS KPI Dashboard</vt:lpstr>
      <vt:lpstr>ARR Bridge</vt:lpstr>
      <vt:lpstr>Growth &amp; timing</vt:lpstr>
      <vt:lpstr>Pricing</vt:lpstr>
      <vt:lpstr>Throughput → collections</vt:lpstr>
      <vt:lpstr>Financing &amp; returns</vt:lpstr>
      <vt:lpstr>Operating costs (fixed)</vt:lpstr>
      <vt:lpstr>Cost-to-serve (per encounter-cl</vt:lpstr>
      <vt:lpstr>Staffing</vt:lpstr>
      <vt:lpstr>Staffing &amp; FTE</vt:lpstr>
      <vt:lpstr>Proforma (monthly)</vt:lpstr>
      <vt:lpstr>Monthly P&amp;L</vt:lpstr>
      <vt:lpstr>P&amp;L (annual)</vt:lpstr>
      <vt:lpstr>EBITDA Proforma</vt:lpstr>
      <vt:lpstr>Revenue Build</vt:lpstr>
      <vt:lpstr>Provider Ramp</vt:lpstr>
      <vt:lpstr>Churn &amp; Retention</vt:lpstr>
      <vt:lpstr>Collections</vt:lpstr>
      <vt:lpstr>RCM Workload</vt:lpstr>
      <vt:lpstr>Unit Economics</vt:lpstr>
      <vt:lpstr>MD-APP Mix</vt:lpstr>
      <vt:lpstr>Cost-to-Serve</vt:lpstr>
      <vt:lpstr>AI-Scribe &amp; Azure</vt:lpstr>
      <vt:lpstr>Cloud &amp; Azure COGS</vt:lpstr>
      <vt:lpstr>Efficiency</vt:lpstr>
      <vt:lpstr>Headcount by Position</vt:lpstr>
      <vt:lpstr>Corp Expenses</vt:lpstr>
      <vt:lpstr>Capex</vt:lpstr>
      <vt:lpstr>Cash Flow (annual)</vt:lpstr>
      <vt:lpstr>Cash Flow (OIF)</vt:lpstr>
      <vt:lpstr>Working Capital</vt:lpstr>
      <vt:lpstr>Tax (NOL)</vt:lpstr>
      <vt:lpstr>Sources &amp; Uses</vt:lpstr>
      <vt:lpstr>Returns</vt:lpstr>
      <vt:lpstr>Equity Returns</vt:lpstr>
      <vt:lpstr>Returns Sensitivity</vt:lpstr>
      <vt:lpstr>Retention Upside</vt:lpstr>
      <vt:lpstr>Cap Table</vt:lpstr>
      <vt:lpstr>Balance Sheet</vt:lpstr>
      <vt:lpstr>Market (TAM-SAM-SOM)</vt:lpstr>
      <vt:lpstr>Why Now</vt:lpstr>
      <vt:lpstr>Competition</vt:lpstr>
      <vt:lpstr>Exit Comps</vt:lpstr>
      <vt:lpstr>Glossary</vt:lpstr>
      <vt:lpstr>Change Log</vt:lpstr>
      <vt:lpstr>Notes &amp; 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Jeff Hughes</cp:lastModifiedBy>
  <dcterms:created xsi:type="dcterms:W3CDTF">2026-06-27T03:52:57Z</dcterms:created>
  <dcterms:modified xsi:type="dcterms:W3CDTF">2026-06-27T03:54:04Z</dcterms:modified>
</cp:coreProperties>
</file>